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S:\Actuarial\Tier 3 - Internal Use Secured\TWIA\Reviews\2022 Rate Review\Webpage Publication\Final\"/>
    </mc:Choice>
  </mc:AlternateContent>
  <xr:revisionPtr revIDLastSave="0" documentId="13_ncr:1_{93B602F9-73B1-4D2C-BAB1-BED18AC4AFA4}" xr6:coauthVersionLast="47" xr6:coauthVersionMax="47" xr10:uidLastSave="{00000000-0000-0000-0000-000000000000}"/>
  <bookViews>
    <workbookView xWindow="-110" yWindow="-110" windowWidth="19420" windowHeight="10420" tabRatio="930" activeTab="4" xr2:uid="{B012DC09-D67D-4D0A-BED9-E2C6C7FB96C4}"/>
  </bookViews>
  <sheets>
    <sheet name="Cover Page" sheetId="61" r:id="rId1"/>
    <sheet name="Table of Contents" sheetId="62" r:id="rId2"/>
    <sheet name="1" sheetId="1" r:id="rId3"/>
    <sheet name="2.1" sheetId="2" r:id="rId4"/>
    <sheet name="2.2a" sheetId="3" r:id="rId5"/>
    <sheet name="2.2b" sheetId="4" r:id="rId6"/>
    <sheet name="2.2c" sheetId="5" r:id="rId7"/>
    <sheet name="2.2d" sheetId="6" r:id="rId8"/>
    <sheet name="2.3a" sheetId="7" r:id="rId9"/>
    <sheet name="2.3b" sheetId="8" r:id="rId10"/>
    <sheet name="2.3c" sheetId="9" r:id="rId11"/>
    <sheet name="2.3d" sheetId="10" r:id="rId12"/>
    <sheet name="2.4a" sheetId="11" r:id="rId13"/>
    <sheet name="2.4b" sheetId="12" r:id="rId14"/>
    <sheet name="2.4c" sheetId="13" r:id="rId15"/>
    <sheet name="2.4d" sheetId="14" r:id="rId16"/>
    <sheet name="trend 2.5" sheetId="15" r:id="rId17"/>
    <sheet name="ldf 3.1a" sheetId="16" r:id="rId18"/>
    <sheet name="ldf 3.1b" sheetId="60" r:id="rId19"/>
    <sheet name="3.2 premium trend" sheetId="17" r:id="rId20"/>
    <sheet name="3.3a" sheetId="18" r:id="rId21"/>
    <sheet name="3.3b" sheetId="19" r:id="rId22"/>
    <sheet name="3.3c" sheetId="20" r:id="rId23"/>
    <sheet name="3.3d" sheetId="21" r:id="rId24"/>
    <sheet name="4.1" sheetId="22" r:id="rId25"/>
    <sheet name="4.2" sheetId="23" r:id="rId26"/>
    <sheet name="4.3AS loss Dev" sheetId="24" r:id="rId27"/>
    <sheet name="4.4" sheetId="25" r:id="rId28"/>
    <sheet name="4.5AS LAE Dev" sheetId="26" r:id="rId29"/>
    <sheet name="5" sheetId="27" r:id="rId30"/>
    <sheet name="6.1" sheetId="28" r:id="rId31"/>
    <sheet name="6.2" sheetId="29" r:id="rId32"/>
    <sheet name="6.3" sheetId="30" r:id="rId33"/>
    <sheet name="6.4" sheetId="31" r:id="rId34"/>
    <sheet name="6.5" sheetId="32" r:id="rId35"/>
    <sheet name="6.6" sheetId="33" r:id="rId36"/>
    <sheet name="6.7" sheetId="34" r:id="rId37"/>
    <sheet name="7.1" sheetId="35" r:id="rId38"/>
    <sheet name="7.2" sheetId="37" r:id="rId39"/>
    <sheet name="7.3" sheetId="65" r:id="rId40"/>
    <sheet name="7.4" sheetId="66" r:id="rId41"/>
    <sheet name="8.1" sheetId="36" r:id="rId42"/>
    <sheet name="8.2" sheetId="38" r:id="rId43"/>
    <sheet name="8.3" sheetId="63" r:id="rId44"/>
    <sheet name="8.4" sheetId="64" r:id="rId45"/>
    <sheet name="9" sheetId="40" r:id="rId46"/>
    <sheet name="10.1a" sheetId="41" r:id="rId47"/>
    <sheet name="10.1b" sheetId="42" r:id="rId48"/>
    <sheet name="10.1c" sheetId="43" r:id="rId49"/>
    <sheet name="10.1d" sheetId="44" r:id="rId50"/>
    <sheet name="10.2" sheetId="45" r:id="rId51"/>
    <sheet name="11.1" sheetId="46" r:id="rId52"/>
    <sheet name="11.2" sheetId="58" r:id="rId53"/>
    <sheet name="12" sheetId="48" r:id="rId54"/>
  </sheets>
  <externalReferences>
    <externalReference r:id="rId55"/>
    <externalReference r:id="rId56"/>
    <externalReference r:id="rId57"/>
    <externalReference r:id="rId58"/>
    <externalReference r:id="rId59"/>
    <externalReference r:id="rId60"/>
    <externalReference r:id="rId61"/>
  </externalReferences>
  <definedNames>
    <definedName name="_xlnm.Print_Area" localSheetId="2">'1'!$A$1:$K$67</definedName>
    <definedName name="_xlnm.Print_Area" localSheetId="46">'10.1a'!$A$1:$J$66</definedName>
    <definedName name="_xlnm.Print_Area" localSheetId="47">'10.1b'!$A$1:$J$62</definedName>
    <definedName name="_xlnm.Print_Area" localSheetId="48">'10.1c'!$A$1:$J$66</definedName>
    <definedName name="_xlnm.Print_Area" localSheetId="49">'10.1d'!$A$1:$J$66</definedName>
    <definedName name="_xlnm.Print_Area" localSheetId="50">'10.2'!$A$1:$J$42</definedName>
    <definedName name="_xlnm.Print_Area" localSheetId="51">'11.1'!$A$1:$J$67</definedName>
    <definedName name="_xlnm.Print_Area" localSheetId="52">'11.2'!$A$1:$H$68</definedName>
    <definedName name="_xlnm.Print_Area" localSheetId="53">'12'!$A$1:$J$72</definedName>
    <definedName name="_xlnm.Print_Area" localSheetId="3">'2.1'!$A$1:$J$68</definedName>
    <definedName name="_xlnm.Print_Area" localSheetId="4">'2.2a'!$A$1:$J$68</definedName>
    <definedName name="_xlnm.Print_Area" localSheetId="5">'2.2b'!$A$1:$J$68</definedName>
    <definedName name="_xlnm.Print_Area" localSheetId="6">'2.2c'!$A$1:$J$68</definedName>
    <definedName name="_xlnm.Print_Area" localSheetId="7">'2.2d'!$A$1:$J$56</definedName>
    <definedName name="_xlnm.Print_Area" localSheetId="8">'2.3a'!$A$1:$J$68</definedName>
    <definedName name="_xlnm.Print_Area" localSheetId="9">'2.3b'!$A$1:$J$68</definedName>
    <definedName name="_xlnm.Print_Area" localSheetId="10">'2.3c'!$A$1:$J$68</definedName>
    <definedName name="_xlnm.Print_Area" localSheetId="11">'2.3d'!$A$1:$J$68</definedName>
    <definedName name="_xlnm.Print_Area" localSheetId="12">'2.4a'!$A$1:$J$68</definedName>
    <definedName name="_xlnm.Print_Area" localSheetId="13">'2.4b'!$A$1:$J$68</definedName>
    <definedName name="_xlnm.Print_Area" localSheetId="14">'2.4c'!$A$1:$J$68</definedName>
    <definedName name="_xlnm.Print_Area" localSheetId="15">'2.4d'!$A$1:$J$68</definedName>
    <definedName name="_xlnm.Print_Area" localSheetId="19">'3.2 premium trend'!$A$1:$L$70</definedName>
    <definedName name="_xlnm.Print_Area" localSheetId="20">'3.3a'!$A$1:$L$68</definedName>
    <definedName name="_xlnm.Print_Area" localSheetId="21">'3.3b'!$A$1:$L$62</definedName>
    <definedName name="_xlnm.Print_Area" localSheetId="22">'3.3c'!$A$1:$L$68</definedName>
    <definedName name="_xlnm.Print_Area" localSheetId="23">'3.3d'!$A$1:$L$69</definedName>
    <definedName name="_xlnm.Print_Area" localSheetId="24">'4.1'!$A$1:$J$72</definedName>
    <definedName name="_xlnm.Print_Area" localSheetId="25">'4.2'!$A$1:$K$73</definedName>
    <definedName name="_xlnm.Print_Area" localSheetId="26">'4.3AS loss Dev'!$A$1:$K$68</definedName>
    <definedName name="_xlnm.Print_Area" localSheetId="27">'4.4'!$A$1:$J$71</definedName>
    <definedName name="_xlnm.Print_Area" localSheetId="28">'4.5AS LAE Dev'!$A$1:$K$70</definedName>
    <definedName name="_xlnm.Print_Area" localSheetId="29">'5'!$A$1:$H$44</definedName>
    <definedName name="_xlnm.Print_Area" localSheetId="30">'6.1'!$A$1:$J$58</definedName>
    <definedName name="_xlnm.Print_Area" localSheetId="31">'6.2'!$A$1:$J$78</definedName>
    <definedName name="_xlnm.Print_Area" localSheetId="32">'6.3'!$A$1:$I$72</definedName>
    <definedName name="_xlnm.Print_Area" localSheetId="33">'6.4'!$A$1:$I$63</definedName>
    <definedName name="_xlnm.Print_Area" localSheetId="34">'6.5'!$A$1:$I$64</definedName>
    <definedName name="_xlnm.Print_Area" localSheetId="35">'6.6'!$A$1:$I$63</definedName>
    <definedName name="_xlnm.Print_Area" localSheetId="36">'6.7'!$A$1:$I$63</definedName>
    <definedName name="_xlnm.Print_Area" localSheetId="37">'7.1'!$A$1:$K$68</definedName>
    <definedName name="_xlnm.Print_Area" localSheetId="38">'7.2'!$A$1:$K$68</definedName>
    <definedName name="_xlnm.Print_Area" localSheetId="39">'7.3'!$A$1:$K$68</definedName>
    <definedName name="_xlnm.Print_Area" localSheetId="40">'7.4'!$A$1:$K$68</definedName>
    <definedName name="_xlnm.Print_Area" localSheetId="41">'8.1'!$A$1:$J$67</definedName>
    <definedName name="_xlnm.Print_Area" localSheetId="42">'8.2'!$A$1:$J$67</definedName>
    <definedName name="_xlnm.Print_Area" localSheetId="43">'8.3'!$A$1:$J$67</definedName>
    <definedName name="_xlnm.Print_Area" localSheetId="44">'8.4'!$A$1:$J$67</definedName>
    <definedName name="_xlnm.Print_Area" localSheetId="45">'9'!$A$1:$J$71</definedName>
    <definedName name="_xlnm.Print_Area" localSheetId="17">'ldf 3.1a'!$A$1:$L$50</definedName>
    <definedName name="_xlnm.Print_Area" localSheetId="18">'ldf 3.1b'!$A$1:$L$50</definedName>
    <definedName name="_xlnm.Print_Area" localSheetId="1">'Table of Contents'!$B$1:$J$60</definedName>
    <definedName name="_xlnm.Print_Area" localSheetId="16">'trend 2.5'!$A$1:$L$63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6" i="3" l="1"/>
  <c r="B36" i="64" l="1"/>
  <c r="B35" i="64"/>
  <c r="B36" i="63"/>
  <c r="B35" i="63"/>
  <c r="G40" i="46"/>
  <c r="B55" i="28" l="1"/>
  <c r="B13" i="62" l="1"/>
  <c r="H26" i="62"/>
  <c r="F26" i="62"/>
  <c r="D59" i="62"/>
  <c r="B59" i="62"/>
  <c r="B58" i="62"/>
  <c r="B57" i="62"/>
  <c r="D56" i="62"/>
  <c r="B56" i="62"/>
  <c r="D55" i="62"/>
  <c r="B55" i="62"/>
  <c r="D54" i="62"/>
  <c r="B54" i="62"/>
  <c r="D53" i="62"/>
  <c r="B53" i="62"/>
  <c r="D43" i="62"/>
  <c r="B43" i="62"/>
  <c r="D42" i="62"/>
  <c r="B42" i="62"/>
  <c r="D41" i="62"/>
  <c r="B41" i="62"/>
  <c r="D40" i="62"/>
  <c r="B40" i="62"/>
  <c r="B39" i="62"/>
  <c r="B38" i="62"/>
  <c r="B37" i="62"/>
  <c r="B36" i="62"/>
  <c r="D35" i="62"/>
  <c r="B35" i="62"/>
  <c r="B34" i="62"/>
  <c r="D33" i="62"/>
  <c r="B33" i="62"/>
  <c r="B32" i="62"/>
  <c r="B31" i="62"/>
  <c r="D30" i="62"/>
  <c r="B30" i="62"/>
  <c r="D29" i="62"/>
  <c r="B29" i="62"/>
  <c r="D28" i="62"/>
  <c r="B28" i="62"/>
  <c r="D27" i="62"/>
  <c r="B27" i="62"/>
  <c r="D26" i="62"/>
  <c r="B26" i="62"/>
  <c r="D25" i="62"/>
  <c r="B25" i="62"/>
  <c r="D24" i="62"/>
  <c r="B24" i="62"/>
  <c r="B23" i="62"/>
  <c r="D22" i="62"/>
  <c r="D21" i="62"/>
  <c r="D20" i="62"/>
  <c r="D19" i="62"/>
  <c r="D18" i="62"/>
  <c r="B18" i="62"/>
  <c r="D17" i="62"/>
  <c r="B17" i="62"/>
  <c r="D16" i="62"/>
  <c r="B16" i="62"/>
  <c r="D15" i="62"/>
  <c r="B15" i="62"/>
  <c r="D14" i="62"/>
  <c r="B14" i="62"/>
  <c r="D13" i="62"/>
  <c r="D12" i="62"/>
  <c r="B12" i="62"/>
  <c r="D11" i="62"/>
  <c r="B11" i="62"/>
  <c r="D10" i="62"/>
  <c r="B10" i="62"/>
  <c r="D9" i="62"/>
  <c r="B60" i="62"/>
  <c r="B51" i="62"/>
  <c r="B50" i="62"/>
  <c r="B49" i="62"/>
  <c r="B48" i="62"/>
  <c r="B47" i="62"/>
  <c r="B46" i="62"/>
  <c r="B45" i="62"/>
  <c r="B44" i="62" l="1"/>
  <c r="B57" i="46" l="1"/>
  <c r="B58" i="46"/>
  <c r="B55" i="46"/>
  <c r="B56" i="46"/>
  <c r="N14" i="18" l="1"/>
  <c r="F39" i="31"/>
  <c r="E19" i="34"/>
  <c r="V50" i="31" l="1"/>
  <c r="X52" i="31"/>
  <c r="Y52" i="31"/>
  <c r="Z52" i="31"/>
  <c r="AA52" i="31"/>
  <c r="AB52" i="31"/>
  <c r="AC52" i="31"/>
  <c r="AD52" i="31"/>
  <c r="AE52" i="31"/>
  <c r="AF52" i="31"/>
  <c r="AG52" i="31"/>
  <c r="AH52" i="31"/>
  <c r="AI52" i="31"/>
  <c r="AJ52" i="31"/>
  <c r="AK52" i="31"/>
  <c r="AL52" i="31"/>
  <c r="AM52" i="31"/>
  <c r="AN52" i="31"/>
  <c r="AO52" i="31"/>
  <c r="AP52" i="31"/>
  <c r="AQ52" i="31"/>
  <c r="AR52" i="31"/>
  <c r="AS52" i="31"/>
  <c r="AT52" i="31"/>
  <c r="AU52" i="31"/>
  <c r="AV52" i="31"/>
  <c r="AW52" i="31"/>
  <c r="AX52" i="31"/>
  <c r="AY52" i="31"/>
  <c r="AZ52" i="31"/>
  <c r="BA52" i="31"/>
  <c r="BB52" i="31"/>
  <c r="BC52" i="31"/>
  <c r="BD52" i="31"/>
  <c r="BE52" i="31"/>
  <c r="BF52" i="31"/>
  <c r="BG52" i="31"/>
  <c r="BH52" i="31"/>
  <c r="BI52" i="31"/>
  <c r="BJ52" i="31"/>
  <c r="X51" i="31"/>
  <c r="Y51" i="31"/>
  <c r="Z51" i="31"/>
  <c r="AA51" i="31"/>
  <c r="AB51" i="31"/>
  <c r="AC51" i="31"/>
  <c r="AD51" i="31"/>
  <c r="AE51" i="31"/>
  <c r="AF51" i="31"/>
  <c r="AG51" i="31"/>
  <c r="AH51" i="31"/>
  <c r="AI51" i="31"/>
  <c r="AJ51" i="31"/>
  <c r="AK51" i="31"/>
  <c r="AL51" i="31"/>
  <c r="AM51" i="31"/>
  <c r="AN51" i="31"/>
  <c r="AO51" i="31"/>
  <c r="AP51" i="31"/>
  <c r="AQ51" i="31"/>
  <c r="AR51" i="31"/>
  <c r="AS51" i="31"/>
  <c r="AT51" i="31"/>
  <c r="AU51" i="31"/>
  <c r="AV51" i="31"/>
  <c r="AW51" i="31"/>
  <c r="AX51" i="31"/>
  <c r="AY51" i="31"/>
  <c r="AZ51" i="31"/>
  <c r="BA51" i="31"/>
  <c r="BB51" i="31"/>
  <c r="BC51" i="31"/>
  <c r="BD51" i="31"/>
  <c r="BE51" i="31"/>
  <c r="BF51" i="31"/>
  <c r="BG51" i="31"/>
  <c r="BH51" i="31"/>
  <c r="BI51" i="31"/>
  <c r="BJ51" i="31"/>
  <c r="W51" i="31"/>
  <c r="W52" i="31" s="1"/>
  <c r="T50" i="31"/>
  <c r="E27" i="45" l="1"/>
  <c r="A12" i="45"/>
  <c r="C15" i="41" l="1"/>
  <c r="C16" i="41"/>
  <c r="C17" i="41"/>
  <c r="C18" i="41"/>
  <c r="C19" i="41"/>
  <c r="C20" i="41"/>
  <c r="C21" i="41"/>
  <c r="C22" i="41"/>
  <c r="C23" i="41"/>
  <c r="C14" i="41"/>
  <c r="C23" i="42"/>
  <c r="C22" i="42"/>
  <c r="C21" i="42"/>
  <c r="C20" i="42"/>
  <c r="C19" i="42"/>
  <c r="C18" i="42"/>
  <c r="C17" i="42"/>
  <c r="C16" i="42"/>
  <c r="C15" i="42"/>
  <c r="C14" i="42"/>
  <c r="C15" i="43"/>
  <c r="C16" i="43"/>
  <c r="C17" i="43"/>
  <c r="C18" i="43"/>
  <c r="C19" i="43"/>
  <c r="C20" i="43"/>
  <c r="C21" i="43"/>
  <c r="C22" i="43"/>
  <c r="C23" i="43"/>
  <c r="C14" i="43"/>
  <c r="C15" i="44"/>
  <c r="C16" i="44"/>
  <c r="C17" i="44"/>
  <c r="C18" i="44"/>
  <c r="C19" i="44"/>
  <c r="C20" i="44"/>
  <c r="C21" i="44"/>
  <c r="C22" i="44"/>
  <c r="C23" i="44"/>
  <c r="C14" i="44"/>
  <c r="D23" i="11" l="1"/>
  <c r="C23" i="11"/>
  <c r="D22" i="11"/>
  <c r="C22" i="11"/>
  <c r="D21" i="11"/>
  <c r="C21" i="11"/>
  <c r="D20" i="11"/>
  <c r="C20" i="11"/>
  <c r="D19" i="11"/>
  <c r="C19" i="11"/>
  <c r="D18" i="11"/>
  <c r="C18" i="11"/>
  <c r="D17" i="11"/>
  <c r="C17" i="11"/>
  <c r="D16" i="11"/>
  <c r="C16" i="11"/>
  <c r="D15" i="11"/>
  <c r="C15" i="11"/>
  <c r="D14" i="11"/>
  <c r="C14" i="11"/>
  <c r="D23" i="12"/>
  <c r="D22" i="12"/>
  <c r="D21" i="12"/>
  <c r="D20" i="12"/>
  <c r="D19" i="12"/>
  <c r="D18" i="12"/>
  <c r="D17" i="12"/>
  <c r="D16" i="12"/>
  <c r="D15" i="12"/>
  <c r="D14" i="12"/>
  <c r="C23" i="12"/>
  <c r="C15" i="12"/>
  <c r="C16" i="12"/>
  <c r="C17" i="12"/>
  <c r="C18" i="12"/>
  <c r="C19" i="12"/>
  <c r="C20" i="12"/>
  <c r="C21" i="12"/>
  <c r="C22" i="12"/>
  <c r="C14" i="12"/>
  <c r="D15" i="13"/>
  <c r="D16" i="13"/>
  <c r="D17" i="13"/>
  <c r="D18" i="13"/>
  <c r="D19" i="13"/>
  <c r="D20" i="13"/>
  <c r="D21" i="13"/>
  <c r="D22" i="13"/>
  <c r="D23" i="13"/>
  <c r="D14" i="13"/>
  <c r="C15" i="13"/>
  <c r="C16" i="13"/>
  <c r="C17" i="13"/>
  <c r="C18" i="13"/>
  <c r="C19" i="13"/>
  <c r="C20" i="13"/>
  <c r="C21" i="13"/>
  <c r="C22" i="13"/>
  <c r="C23" i="13"/>
  <c r="C14" i="13"/>
  <c r="D15" i="14"/>
  <c r="D16" i="14"/>
  <c r="D17" i="14"/>
  <c r="D18" i="14"/>
  <c r="D19" i="14"/>
  <c r="D20" i="14"/>
  <c r="D21" i="14"/>
  <c r="D22" i="14"/>
  <c r="D23" i="14"/>
  <c r="D14" i="14"/>
  <c r="C15" i="14"/>
  <c r="C16" i="14"/>
  <c r="C17" i="14"/>
  <c r="C18" i="14"/>
  <c r="C19" i="14"/>
  <c r="C20" i="14"/>
  <c r="C21" i="14"/>
  <c r="C22" i="14"/>
  <c r="C23" i="14"/>
  <c r="C14" i="14"/>
  <c r="C23" i="16"/>
  <c r="D22" i="16"/>
  <c r="C22" i="16"/>
  <c r="D21" i="16"/>
  <c r="E21" i="16"/>
  <c r="C21" i="16"/>
  <c r="D20" i="16"/>
  <c r="E20" i="16"/>
  <c r="F20" i="16"/>
  <c r="C20" i="16"/>
  <c r="D19" i="16"/>
  <c r="E19" i="16"/>
  <c r="F19" i="16"/>
  <c r="G19" i="16"/>
  <c r="C19" i="16"/>
  <c r="D18" i="16"/>
  <c r="E18" i="16"/>
  <c r="F18" i="16"/>
  <c r="G18" i="16"/>
  <c r="H18" i="16"/>
  <c r="C18" i="16"/>
  <c r="D17" i="16"/>
  <c r="E17" i="16"/>
  <c r="F17" i="16"/>
  <c r="G17" i="16"/>
  <c r="H17" i="16"/>
  <c r="I17" i="16"/>
  <c r="C17" i="16"/>
  <c r="D16" i="16"/>
  <c r="E16" i="16"/>
  <c r="F16" i="16"/>
  <c r="G16" i="16"/>
  <c r="H16" i="16"/>
  <c r="I16" i="16"/>
  <c r="J16" i="16"/>
  <c r="C16" i="16"/>
  <c r="D15" i="16"/>
  <c r="E15" i="16"/>
  <c r="F15" i="16"/>
  <c r="G15" i="16"/>
  <c r="H15" i="16"/>
  <c r="I15" i="16"/>
  <c r="J15" i="16"/>
  <c r="K15" i="16"/>
  <c r="C15" i="16"/>
  <c r="D14" i="16"/>
  <c r="E14" i="16"/>
  <c r="F14" i="16"/>
  <c r="G14" i="16"/>
  <c r="H14" i="16"/>
  <c r="I14" i="16"/>
  <c r="J14" i="16"/>
  <c r="K14" i="16"/>
  <c r="C14" i="16"/>
  <c r="C23" i="60" l="1"/>
  <c r="D22" i="60"/>
  <c r="C22" i="60"/>
  <c r="E21" i="60"/>
  <c r="D21" i="60"/>
  <c r="C21" i="60"/>
  <c r="F20" i="60"/>
  <c r="E20" i="60"/>
  <c r="D20" i="60"/>
  <c r="C20" i="60"/>
  <c r="G19" i="60"/>
  <c r="F19" i="60"/>
  <c r="E19" i="60"/>
  <c r="D19" i="60"/>
  <c r="C19" i="60"/>
  <c r="H18" i="60"/>
  <c r="G18" i="60"/>
  <c r="F18" i="60"/>
  <c r="E18" i="60"/>
  <c r="D18" i="60"/>
  <c r="C18" i="60"/>
  <c r="I17" i="60"/>
  <c r="H17" i="60"/>
  <c r="G17" i="60"/>
  <c r="F17" i="60"/>
  <c r="E17" i="60"/>
  <c r="D17" i="60"/>
  <c r="C17" i="60"/>
  <c r="J16" i="60"/>
  <c r="I16" i="60"/>
  <c r="H16" i="60"/>
  <c r="G16" i="60"/>
  <c r="F16" i="60"/>
  <c r="E16" i="60"/>
  <c r="D16" i="60"/>
  <c r="C16" i="60"/>
  <c r="K15" i="60"/>
  <c r="J15" i="60"/>
  <c r="I15" i="60"/>
  <c r="H15" i="60"/>
  <c r="G15" i="60"/>
  <c r="F15" i="60"/>
  <c r="E15" i="60"/>
  <c r="D15" i="60"/>
  <c r="C15" i="60"/>
  <c r="K14" i="60"/>
  <c r="J14" i="60"/>
  <c r="I14" i="60"/>
  <c r="H14" i="60"/>
  <c r="G14" i="60"/>
  <c r="F14" i="60"/>
  <c r="E14" i="60"/>
  <c r="D14" i="60"/>
  <c r="C14" i="60"/>
  <c r="O23" i="60"/>
  <c r="O23" i="16" s="1"/>
  <c r="N23" i="60"/>
  <c r="N23" i="16" s="1"/>
  <c r="C39" i="29"/>
  <c r="C40" i="29"/>
  <c r="C41" i="29"/>
  <c r="C42" i="29"/>
  <c r="C43" i="29"/>
  <c r="C44" i="29"/>
  <c r="C45" i="29"/>
  <c r="C46" i="29"/>
  <c r="C47" i="29"/>
  <c r="C48" i="29"/>
  <c r="C49" i="29"/>
  <c r="C50" i="29"/>
  <c r="C51" i="29"/>
  <c r="C52" i="29"/>
  <c r="C53" i="29"/>
  <c r="C54" i="29"/>
  <c r="C55" i="29"/>
  <c r="C56" i="29"/>
  <c r="C57" i="29"/>
  <c r="C58" i="29"/>
  <c r="C59" i="29"/>
  <c r="C60" i="29"/>
  <c r="C61" i="29"/>
  <c r="C62" i="29"/>
  <c r="C63" i="29"/>
  <c r="C64" i="29"/>
  <c r="C65" i="29"/>
  <c r="C66" i="29"/>
  <c r="C67" i="29"/>
  <c r="C68" i="29"/>
  <c r="C38" i="29"/>
  <c r="A45" i="29"/>
  <c r="A46" i="29" s="1"/>
  <c r="A47" i="29" s="1"/>
  <c r="A48" i="29" s="1"/>
  <c r="A49" i="29" s="1"/>
  <c r="A50" i="29" s="1"/>
  <c r="A51" i="29" s="1"/>
  <c r="A52" i="29" s="1"/>
  <c r="A53" i="29" s="1"/>
  <c r="A54" i="29" s="1"/>
  <c r="A55" i="29" s="1"/>
  <c r="A56" i="29" s="1"/>
  <c r="A57" i="29" s="1"/>
  <c r="A58" i="29" s="1"/>
  <c r="A59" i="29" s="1"/>
  <c r="A60" i="29" s="1"/>
  <c r="A61" i="29" s="1"/>
  <c r="A62" i="29" s="1"/>
  <c r="A63" i="29" s="1"/>
  <c r="A64" i="29" s="1"/>
  <c r="A46" i="30"/>
  <c r="A47" i="30" s="1"/>
  <c r="N44" i="30"/>
  <c r="M44" i="30"/>
  <c r="M45" i="30"/>
  <c r="M52" i="30"/>
  <c r="C70" i="29" l="1"/>
  <c r="A48" i="30"/>
  <c r="M47" i="30"/>
  <c r="M46" i="30"/>
  <c r="A49" i="30" l="1"/>
  <c r="M48" i="30"/>
  <c r="A50" i="30" l="1"/>
  <c r="M49" i="30"/>
  <c r="M50" i="30" l="1"/>
  <c r="A51" i="30"/>
  <c r="M51" i="30" s="1"/>
  <c r="T49" i="31" l="1"/>
  <c r="D35" i="32" l="1"/>
  <c r="D36" i="32"/>
  <c r="D37" i="32"/>
  <c r="D38" i="32"/>
  <c r="D39" i="32"/>
  <c r="D40" i="32"/>
  <c r="D41" i="32"/>
  <c r="D42" i="32"/>
  <c r="D43" i="32"/>
  <c r="D44" i="32"/>
  <c r="D45" i="32"/>
  <c r="D46" i="32"/>
  <c r="D47" i="32"/>
  <c r="D48" i="32"/>
  <c r="D49" i="32"/>
  <c r="D50" i="32"/>
  <c r="D51" i="32"/>
  <c r="D52" i="32"/>
  <c r="D35" i="31"/>
  <c r="D36" i="31"/>
  <c r="D37" i="31"/>
  <c r="D38" i="31"/>
  <c r="D39" i="31"/>
  <c r="D40" i="31"/>
  <c r="D41" i="31"/>
  <c r="D42" i="31"/>
  <c r="D43" i="31"/>
  <c r="D44" i="31"/>
  <c r="D45" i="31"/>
  <c r="D46" i="31"/>
  <c r="D47" i="31"/>
  <c r="D48" i="31"/>
  <c r="D49" i="31"/>
  <c r="D50" i="31"/>
  <c r="D51" i="31"/>
  <c r="D52" i="31"/>
  <c r="D34" i="32"/>
  <c r="D34" i="31"/>
  <c r="F23" i="31"/>
  <c r="F24" i="31"/>
  <c r="F25" i="31"/>
  <c r="F26" i="31"/>
  <c r="F27" i="31"/>
  <c r="F28" i="31"/>
  <c r="F29" i="31"/>
  <c r="F30" i="31"/>
  <c r="F31" i="31"/>
  <c r="F32" i="31"/>
  <c r="F33" i="31"/>
  <c r="F34" i="31"/>
  <c r="F35" i="31"/>
  <c r="F36" i="31"/>
  <c r="F37" i="31"/>
  <c r="F38" i="31"/>
  <c r="F40" i="31"/>
  <c r="F41" i="31"/>
  <c r="F42" i="31"/>
  <c r="F43" i="31"/>
  <c r="F44" i="31"/>
  <c r="F45" i="31"/>
  <c r="F46" i="31"/>
  <c r="F47" i="31"/>
  <c r="F48" i="31"/>
  <c r="F49" i="31"/>
  <c r="F50" i="31"/>
  <c r="F51" i="31"/>
  <c r="F52" i="31"/>
  <c r="F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22" i="31"/>
  <c r="F23" i="32"/>
  <c r="F24" i="32"/>
  <c r="F25" i="32"/>
  <c r="F26" i="32"/>
  <c r="F27" i="32"/>
  <c r="F28" i="32"/>
  <c r="F29" i="32"/>
  <c r="F30" i="32"/>
  <c r="F31" i="32"/>
  <c r="F32" i="32"/>
  <c r="F33" i="32"/>
  <c r="F34" i="32"/>
  <c r="F35" i="32"/>
  <c r="F36" i="32"/>
  <c r="F37" i="32"/>
  <c r="F38" i="32"/>
  <c r="F39" i="32"/>
  <c r="F40" i="32"/>
  <c r="F41" i="32"/>
  <c r="F42" i="32"/>
  <c r="F43" i="32"/>
  <c r="F44" i="32"/>
  <c r="F45" i="32"/>
  <c r="F46" i="32"/>
  <c r="F47" i="32"/>
  <c r="F48" i="32"/>
  <c r="F49" i="32"/>
  <c r="F50" i="32"/>
  <c r="F51" i="32"/>
  <c r="F52" i="32"/>
  <c r="C23" i="32"/>
  <c r="C24" i="32"/>
  <c r="C25" i="32"/>
  <c r="C26" i="32"/>
  <c r="C27" i="32"/>
  <c r="C28" i="32"/>
  <c r="C29" i="32"/>
  <c r="C30" i="32"/>
  <c r="C31" i="32"/>
  <c r="C32" i="32"/>
  <c r="C33" i="32"/>
  <c r="C34" i="32"/>
  <c r="C35" i="32"/>
  <c r="C36" i="32"/>
  <c r="C37" i="32"/>
  <c r="C38" i="32"/>
  <c r="C39" i="32"/>
  <c r="C40" i="32"/>
  <c r="C41" i="32"/>
  <c r="C42" i="32"/>
  <c r="C43" i="32"/>
  <c r="C44" i="32"/>
  <c r="C45" i="32"/>
  <c r="C46" i="32"/>
  <c r="C47" i="32"/>
  <c r="C48" i="32"/>
  <c r="C49" i="32"/>
  <c r="C50" i="32"/>
  <c r="C51" i="32"/>
  <c r="C52" i="32"/>
  <c r="F22" i="32"/>
  <c r="C22" i="32"/>
  <c r="F23" i="33"/>
  <c r="F24" i="33"/>
  <c r="F25" i="33"/>
  <c r="F26" i="33"/>
  <c r="F27" i="33"/>
  <c r="F28" i="33"/>
  <c r="F29" i="33"/>
  <c r="F30" i="33"/>
  <c r="F31" i="33"/>
  <c r="F32" i="33"/>
  <c r="F33" i="33"/>
  <c r="F34" i="33"/>
  <c r="F35" i="33"/>
  <c r="F36" i="33"/>
  <c r="F37" i="33"/>
  <c r="F38" i="33"/>
  <c r="F39" i="33"/>
  <c r="F40" i="33"/>
  <c r="F41" i="33"/>
  <c r="F42" i="33"/>
  <c r="F43" i="33"/>
  <c r="F44" i="33"/>
  <c r="F45" i="33"/>
  <c r="F46" i="33"/>
  <c r="F47" i="33"/>
  <c r="F48" i="33"/>
  <c r="F49" i="33"/>
  <c r="F50" i="33"/>
  <c r="F51" i="33"/>
  <c r="F52" i="33"/>
  <c r="F22" i="33"/>
  <c r="C23" i="33"/>
  <c r="C24" i="33"/>
  <c r="C25" i="33"/>
  <c r="C26" i="33"/>
  <c r="C27" i="33"/>
  <c r="C28" i="33"/>
  <c r="C29" i="33"/>
  <c r="C30" i="33"/>
  <c r="C31" i="33"/>
  <c r="C32" i="33"/>
  <c r="C33" i="33"/>
  <c r="C34" i="33"/>
  <c r="C35" i="33"/>
  <c r="C36" i="33"/>
  <c r="C37" i="33"/>
  <c r="C38" i="33"/>
  <c r="C39" i="33"/>
  <c r="C40" i="33"/>
  <c r="C41" i="33"/>
  <c r="C42" i="33"/>
  <c r="C43" i="33"/>
  <c r="C44" i="33"/>
  <c r="C45" i="33"/>
  <c r="C46" i="33"/>
  <c r="C47" i="33"/>
  <c r="C48" i="33"/>
  <c r="C49" i="33"/>
  <c r="C50" i="33"/>
  <c r="C51" i="33"/>
  <c r="C52" i="33"/>
  <c r="C22" i="33"/>
  <c r="F24" i="34"/>
  <c r="F25" i="34"/>
  <c r="F26" i="34"/>
  <c r="F27" i="34"/>
  <c r="F28" i="34"/>
  <c r="F29" i="34"/>
  <c r="F30" i="34"/>
  <c r="F31" i="34"/>
  <c r="F32" i="34"/>
  <c r="F33" i="34"/>
  <c r="F34" i="34"/>
  <c r="F35" i="34"/>
  <c r="F36" i="34"/>
  <c r="F37" i="34"/>
  <c r="F38" i="34"/>
  <c r="F39" i="34"/>
  <c r="F40" i="34"/>
  <c r="F41" i="34"/>
  <c r="F42" i="34"/>
  <c r="F43" i="34"/>
  <c r="F44" i="34"/>
  <c r="F45" i="34"/>
  <c r="F46" i="34"/>
  <c r="F47" i="34"/>
  <c r="F48" i="34"/>
  <c r="F49" i="34"/>
  <c r="F50" i="34"/>
  <c r="F51" i="34"/>
  <c r="F52" i="34"/>
  <c r="F23" i="34"/>
  <c r="F22" i="34"/>
  <c r="C52" i="34"/>
  <c r="C23" i="34"/>
  <c r="C24" i="34"/>
  <c r="C25" i="34"/>
  <c r="C26" i="34"/>
  <c r="C27" i="34"/>
  <c r="C28" i="34"/>
  <c r="C29" i="34"/>
  <c r="C30" i="34"/>
  <c r="C31" i="34"/>
  <c r="C32" i="34"/>
  <c r="C33" i="34"/>
  <c r="C34" i="34"/>
  <c r="C35" i="34"/>
  <c r="C36" i="34"/>
  <c r="C37" i="34"/>
  <c r="C38" i="34"/>
  <c r="C39" i="34"/>
  <c r="C40" i="34"/>
  <c r="C41" i="34"/>
  <c r="C42" i="34"/>
  <c r="C43" i="34"/>
  <c r="C44" i="34"/>
  <c r="C45" i="34"/>
  <c r="C46" i="34"/>
  <c r="C47" i="34"/>
  <c r="C48" i="34"/>
  <c r="C49" i="34"/>
  <c r="C50" i="34"/>
  <c r="C51" i="34"/>
  <c r="C22" i="34"/>
  <c r="L55" i="31"/>
  <c r="K55" i="31"/>
  <c r="B52" i="62"/>
  <c r="M22" i="11"/>
  <c r="L22" i="11"/>
  <c r="E55" i="23"/>
  <c r="C55" i="22" s="1"/>
  <c r="D55" i="23"/>
  <c r="C55" i="23"/>
  <c r="E54" i="23"/>
  <c r="D54" i="23"/>
  <c r="C54" i="23"/>
  <c r="E53" i="23"/>
  <c r="D53" i="23"/>
  <c r="C53" i="23"/>
  <c r="E52" i="23"/>
  <c r="D52" i="23"/>
  <c r="C52" i="23"/>
  <c r="E51" i="23"/>
  <c r="D51" i="23"/>
  <c r="C51" i="23"/>
  <c r="E50" i="23"/>
  <c r="D50" i="23"/>
  <c r="C50" i="23"/>
  <c r="E49" i="23"/>
  <c r="D49" i="23"/>
  <c r="C49" i="23"/>
  <c r="E48" i="23"/>
  <c r="D48" i="23"/>
  <c r="C48" i="23"/>
  <c r="E47" i="23"/>
  <c r="D47" i="23"/>
  <c r="C47" i="23"/>
  <c r="E46" i="23"/>
  <c r="D46" i="23"/>
  <c r="C46" i="23"/>
  <c r="E45" i="23"/>
  <c r="E44" i="23"/>
  <c r="E43" i="23"/>
  <c r="E42" i="23"/>
  <c r="E41" i="23"/>
  <c r="E40" i="23"/>
  <c r="E39" i="23"/>
  <c r="E38" i="23"/>
  <c r="E37" i="23"/>
  <c r="E36" i="23"/>
  <c r="E35" i="23"/>
  <c r="E34" i="23"/>
  <c r="E33" i="23"/>
  <c r="E32" i="23"/>
  <c r="E31" i="23"/>
  <c r="E30" i="23"/>
  <c r="E29" i="23"/>
  <c r="E28" i="23"/>
  <c r="E27" i="23"/>
  <c r="E26" i="23"/>
  <c r="E25" i="23"/>
  <c r="E24" i="23"/>
  <c r="E23" i="23"/>
  <c r="E22" i="23"/>
  <c r="E21" i="23"/>
  <c r="E20" i="23"/>
  <c r="E19" i="23"/>
  <c r="E18" i="23"/>
  <c r="E17" i="23"/>
  <c r="E16" i="23"/>
  <c r="E15" i="23"/>
  <c r="E14" i="23"/>
  <c r="I47" i="24"/>
  <c r="H47" i="24"/>
  <c r="G47" i="24"/>
  <c r="F47" i="24"/>
  <c r="E47" i="24"/>
  <c r="D47" i="24"/>
  <c r="C47" i="24"/>
  <c r="I46" i="24"/>
  <c r="H46" i="24"/>
  <c r="G46" i="24"/>
  <c r="F46" i="24"/>
  <c r="E46" i="24"/>
  <c r="D46" i="24"/>
  <c r="C46" i="24"/>
  <c r="C23" i="24"/>
  <c r="D22" i="24"/>
  <c r="C22" i="24"/>
  <c r="E21" i="24"/>
  <c r="D21" i="24"/>
  <c r="C21" i="24"/>
  <c r="F20" i="24"/>
  <c r="E20" i="24"/>
  <c r="D20" i="24"/>
  <c r="C20" i="24"/>
  <c r="G19" i="24"/>
  <c r="F19" i="24"/>
  <c r="E19" i="24"/>
  <c r="D19" i="24"/>
  <c r="C19" i="24"/>
  <c r="H18" i="24"/>
  <c r="G18" i="24"/>
  <c r="F18" i="24"/>
  <c r="E18" i="24"/>
  <c r="D18" i="24"/>
  <c r="C18" i="24"/>
  <c r="I17" i="24"/>
  <c r="H17" i="24"/>
  <c r="G17" i="24"/>
  <c r="F17" i="24"/>
  <c r="E17" i="24"/>
  <c r="D17" i="24"/>
  <c r="C17" i="24"/>
  <c r="I16" i="24"/>
  <c r="H16" i="24"/>
  <c r="G16" i="24"/>
  <c r="F16" i="24"/>
  <c r="E16" i="24"/>
  <c r="D16" i="24"/>
  <c r="C16" i="24"/>
  <c r="I15" i="24"/>
  <c r="H15" i="24"/>
  <c r="G15" i="24"/>
  <c r="F15" i="24"/>
  <c r="E15" i="24"/>
  <c r="D15" i="24"/>
  <c r="C15" i="24"/>
  <c r="I14" i="24"/>
  <c r="H14" i="24"/>
  <c r="G14" i="24"/>
  <c r="F14" i="24"/>
  <c r="E14" i="24"/>
  <c r="D14" i="24"/>
  <c r="C14" i="24"/>
  <c r="M23" i="24"/>
  <c r="B26" i="27"/>
  <c r="B41" i="66"/>
  <c r="B41" i="65"/>
  <c r="B41" i="37"/>
  <c r="B39" i="66"/>
  <c r="B39" i="65"/>
  <c r="F54" i="34" l="1"/>
  <c r="C54" i="33"/>
  <c r="E52" i="32"/>
  <c r="G52" i="32" s="1"/>
  <c r="D52" i="30" s="1"/>
  <c r="C54" i="34"/>
  <c r="C54" i="32"/>
  <c r="F54" i="33"/>
  <c r="F54" i="32"/>
  <c r="E52" i="31"/>
  <c r="F54" i="31"/>
  <c r="C54" i="31"/>
  <c r="D52" i="34"/>
  <c r="E52" i="34" s="1"/>
  <c r="D52" i="33"/>
  <c r="E33" i="66"/>
  <c r="E12" i="66"/>
  <c r="B42" i="66" s="1"/>
  <c r="D12" i="66"/>
  <c r="C12" i="66"/>
  <c r="B38" i="66" s="1"/>
  <c r="A12" i="66"/>
  <c r="A3" i="66"/>
  <c r="A2" i="66"/>
  <c r="A1" i="66"/>
  <c r="E33" i="65"/>
  <c r="E12" i="65"/>
  <c r="B42" i="65" s="1"/>
  <c r="D12" i="65"/>
  <c r="C12" i="65"/>
  <c r="B38" i="65" s="1"/>
  <c r="A12" i="65"/>
  <c r="A3" i="65"/>
  <c r="A2" i="65"/>
  <c r="A1" i="65"/>
  <c r="D15" i="64"/>
  <c r="D16" i="64"/>
  <c r="D17" i="64"/>
  <c r="D18" i="64"/>
  <c r="D19" i="64"/>
  <c r="D20" i="64"/>
  <c r="D21" i="64"/>
  <c r="D22" i="64"/>
  <c r="D23" i="64"/>
  <c r="D24" i="64"/>
  <c r="D25" i="64"/>
  <c r="D26" i="64"/>
  <c r="D27" i="64"/>
  <c r="D28" i="64"/>
  <c r="D14" i="64"/>
  <c r="C15" i="64"/>
  <c r="C15" i="66" s="1"/>
  <c r="C16" i="64"/>
  <c r="C16" i="66" s="1"/>
  <c r="C17" i="64"/>
  <c r="C18" i="64"/>
  <c r="C18" i="66" s="1"/>
  <c r="C19" i="64"/>
  <c r="C19" i="66" s="1"/>
  <c r="C20" i="64"/>
  <c r="C20" i="66" s="1"/>
  <c r="C21" i="64"/>
  <c r="C21" i="66" s="1"/>
  <c r="C22" i="64"/>
  <c r="C22" i="66" s="1"/>
  <c r="C23" i="64"/>
  <c r="C23" i="66" s="1"/>
  <c r="C24" i="64"/>
  <c r="C24" i="66" s="1"/>
  <c r="C25" i="64"/>
  <c r="C26" i="64"/>
  <c r="C26" i="66" s="1"/>
  <c r="C27" i="64"/>
  <c r="C27" i="66" s="1"/>
  <c r="C28" i="64"/>
  <c r="C28" i="66" s="1"/>
  <c r="C14" i="64"/>
  <c r="C14" i="66" s="1"/>
  <c r="E12" i="64"/>
  <c r="B37" i="64" s="1"/>
  <c r="D12" i="64"/>
  <c r="C12" i="64"/>
  <c r="A12" i="64"/>
  <c r="L11" i="64"/>
  <c r="C11" i="64" s="1"/>
  <c r="A3" i="64"/>
  <c r="A2" i="64"/>
  <c r="A1" i="64"/>
  <c r="D15" i="63"/>
  <c r="D16" i="63"/>
  <c r="D17" i="63"/>
  <c r="D18" i="63"/>
  <c r="D19" i="63"/>
  <c r="D20" i="63"/>
  <c r="D21" i="63"/>
  <c r="D22" i="63"/>
  <c r="D23" i="63"/>
  <c r="D24" i="63"/>
  <c r="D25" i="63"/>
  <c r="D26" i="63"/>
  <c r="D27" i="63"/>
  <c r="D28" i="63"/>
  <c r="D14" i="63"/>
  <c r="C15" i="63"/>
  <c r="C16" i="63"/>
  <c r="C16" i="65" s="1"/>
  <c r="C17" i="63"/>
  <c r="C17" i="65" s="1"/>
  <c r="C18" i="63"/>
  <c r="C18" i="65" s="1"/>
  <c r="C19" i="63"/>
  <c r="C19" i="65" s="1"/>
  <c r="C20" i="63"/>
  <c r="C20" i="65" s="1"/>
  <c r="C21" i="63"/>
  <c r="C21" i="65" s="1"/>
  <c r="C22" i="63"/>
  <c r="C22" i="65" s="1"/>
  <c r="C23" i="63"/>
  <c r="C24" i="63"/>
  <c r="C24" i="65" s="1"/>
  <c r="C25" i="63"/>
  <c r="C25" i="65" s="1"/>
  <c r="C26" i="63"/>
  <c r="C26" i="65" s="1"/>
  <c r="C27" i="63"/>
  <c r="C27" i="65" s="1"/>
  <c r="C28" i="63"/>
  <c r="C28" i="65" s="1"/>
  <c r="C14" i="63"/>
  <c r="C14" i="65" s="1"/>
  <c r="E12" i="63"/>
  <c r="B37" i="63" s="1"/>
  <c r="D12" i="63"/>
  <c r="C12" i="63"/>
  <c r="A12" i="63"/>
  <c r="L11" i="63"/>
  <c r="C11" i="63" s="1"/>
  <c r="A3" i="63"/>
  <c r="A2" i="63"/>
  <c r="A1" i="63"/>
  <c r="D28" i="36"/>
  <c r="C28" i="36"/>
  <c r="D27" i="36"/>
  <c r="C27" i="36"/>
  <c r="D26" i="36"/>
  <c r="C26" i="36"/>
  <c r="D25" i="36"/>
  <c r="C25" i="36"/>
  <c r="D24" i="36"/>
  <c r="C24" i="36"/>
  <c r="D23" i="36"/>
  <c r="C23" i="36"/>
  <c r="D22" i="36"/>
  <c r="C22" i="36"/>
  <c r="D21" i="36"/>
  <c r="C21" i="36"/>
  <c r="D20" i="36"/>
  <c r="C20" i="36"/>
  <c r="D19" i="36"/>
  <c r="C19" i="36"/>
  <c r="D18" i="36"/>
  <c r="C18" i="36"/>
  <c r="D17" i="36"/>
  <c r="C17" i="36"/>
  <c r="D16" i="36"/>
  <c r="C16" i="36"/>
  <c r="D15" i="36"/>
  <c r="C15" i="36"/>
  <c r="D14" i="36"/>
  <c r="C14" i="36"/>
  <c r="L11" i="38"/>
  <c r="D28" i="38"/>
  <c r="C28" i="38"/>
  <c r="D27" i="38"/>
  <c r="C27" i="38"/>
  <c r="D26" i="38"/>
  <c r="C26" i="38"/>
  <c r="D25" i="38"/>
  <c r="C25" i="38"/>
  <c r="D24" i="38"/>
  <c r="C24" i="38"/>
  <c r="D23" i="38"/>
  <c r="C23" i="38"/>
  <c r="D22" i="38"/>
  <c r="C22" i="38"/>
  <c r="D21" i="38"/>
  <c r="C21" i="38"/>
  <c r="D20" i="38"/>
  <c r="C20" i="38"/>
  <c r="D19" i="38"/>
  <c r="C19" i="38"/>
  <c r="D18" i="38"/>
  <c r="C18" i="38"/>
  <c r="D17" i="38"/>
  <c r="C17" i="38"/>
  <c r="D16" i="38"/>
  <c r="C16" i="38"/>
  <c r="D15" i="38"/>
  <c r="C15" i="38"/>
  <c r="D14" i="38"/>
  <c r="C14" i="38"/>
  <c r="A54" i="25"/>
  <c r="C54" i="25"/>
  <c r="D54" i="25"/>
  <c r="E54" i="25"/>
  <c r="F54" i="25"/>
  <c r="G54" i="25"/>
  <c r="D55" i="22" s="1"/>
  <c r="E55" i="22" s="1"/>
  <c r="B61" i="25"/>
  <c r="B59" i="25"/>
  <c r="G53" i="25"/>
  <c r="F53" i="25"/>
  <c r="E53" i="25"/>
  <c r="D53" i="25"/>
  <c r="C53" i="25"/>
  <c r="G52" i="25"/>
  <c r="F52" i="25"/>
  <c r="E52" i="25"/>
  <c r="D52" i="25"/>
  <c r="C52" i="25"/>
  <c r="G51" i="25"/>
  <c r="F51" i="25"/>
  <c r="E51" i="25"/>
  <c r="D51" i="25"/>
  <c r="C51" i="25"/>
  <c r="G50" i="25"/>
  <c r="F50" i="25"/>
  <c r="E50" i="25"/>
  <c r="D50" i="25"/>
  <c r="C50" i="25"/>
  <c r="G49" i="25"/>
  <c r="F49" i="25"/>
  <c r="E49" i="25"/>
  <c r="D49" i="25"/>
  <c r="C49" i="25"/>
  <c r="G48" i="25"/>
  <c r="F48" i="25"/>
  <c r="E48" i="25"/>
  <c r="D48" i="25"/>
  <c r="C48" i="25"/>
  <c r="G47" i="25"/>
  <c r="F47" i="25"/>
  <c r="E47" i="25"/>
  <c r="D47" i="25"/>
  <c r="C47" i="25"/>
  <c r="G46" i="25"/>
  <c r="F46" i="25"/>
  <c r="E46" i="25"/>
  <c r="D46" i="25"/>
  <c r="C46" i="25"/>
  <c r="G45" i="25"/>
  <c r="F45" i="25"/>
  <c r="E45" i="25"/>
  <c r="D45" i="25"/>
  <c r="C45" i="25"/>
  <c r="G44" i="25"/>
  <c r="F44" i="25"/>
  <c r="E44" i="25"/>
  <c r="D44" i="25"/>
  <c r="C44" i="25"/>
  <c r="G43" i="25"/>
  <c r="F43" i="25"/>
  <c r="E43" i="25"/>
  <c r="D43" i="25"/>
  <c r="C43" i="25"/>
  <c r="G42" i="25"/>
  <c r="F42" i="25"/>
  <c r="E42" i="25"/>
  <c r="D42" i="25"/>
  <c r="C42" i="25"/>
  <c r="G41" i="25"/>
  <c r="F41" i="25"/>
  <c r="E41" i="25"/>
  <c r="D41" i="25"/>
  <c r="C41" i="25"/>
  <c r="G40" i="25"/>
  <c r="F40" i="25"/>
  <c r="E40" i="25"/>
  <c r="G39" i="25"/>
  <c r="F39" i="25"/>
  <c r="E39" i="25"/>
  <c r="G38" i="25"/>
  <c r="F38" i="25"/>
  <c r="E38" i="25"/>
  <c r="G37" i="25"/>
  <c r="F37" i="25"/>
  <c r="E37" i="25"/>
  <c r="G36" i="25"/>
  <c r="F36" i="25"/>
  <c r="E36" i="25"/>
  <c r="G35" i="25"/>
  <c r="F35" i="25"/>
  <c r="E35" i="25"/>
  <c r="G34" i="25"/>
  <c r="F34" i="25"/>
  <c r="E34" i="25"/>
  <c r="G33" i="25"/>
  <c r="F33" i="25"/>
  <c r="E33" i="25"/>
  <c r="G32" i="25"/>
  <c r="F32" i="25"/>
  <c r="E32" i="25"/>
  <c r="G31" i="25"/>
  <c r="F31" i="25"/>
  <c r="E31" i="25"/>
  <c r="G30" i="25"/>
  <c r="F30" i="25"/>
  <c r="E30" i="25"/>
  <c r="G29" i="25"/>
  <c r="F29" i="25"/>
  <c r="E29" i="25"/>
  <c r="G28" i="25"/>
  <c r="F28" i="25"/>
  <c r="E28" i="25"/>
  <c r="G27" i="25"/>
  <c r="F27" i="25"/>
  <c r="E27" i="25"/>
  <c r="G26" i="25"/>
  <c r="F26" i="25"/>
  <c r="E26" i="25"/>
  <c r="G25" i="25"/>
  <c r="F25" i="25"/>
  <c r="E25" i="25"/>
  <c r="G24" i="25"/>
  <c r="F24" i="25"/>
  <c r="E24" i="25"/>
  <c r="G23" i="25"/>
  <c r="F23" i="25"/>
  <c r="E23" i="25"/>
  <c r="G22" i="25"/>
  <c r="F22" i="25"/>
  <c r="E22" i="25"/>
  <c r="G21" i="25"/>
  <c r="F21" i="25"/>
  <c r="E21" i="25"/>
  <c r="G20" i="25"/>
  <c r="F20" i="25"/>
  <c r="E20" i="25"/>
  <c r="G19" i="25"/>
  <c r="F19" i="25"/>
  <c r="E19" i="25"/>
  <c r="G18" i="25"/>
  <c r="G17" i="25"/>
  <c r="G16" i="25"/>
  <c r="G15" i="25"/>
  <c r="G14" i="25"/>
  <c r="G13" i="25"/>
  <c r="E52" i="33" l="1"/>
  <c r="G52" i="33" s="1"/>
  <c r="E52" i="30" s="1"/>
  <c r="G52" i="34"/>
  <c r="F52" i="30" s="1"/>
  <c r="E25" i="63"/>
  <c r="D25" i="65" s="1"/>
  <c r="E25" i="65" s="1"/>
  <c r="E17" i="63"/>
  <c r="D17" i="65" s="1"/>
  <c r="E17" i="65" s="1"/>
  <c r="E18" i="64"/>
  <c r="D18" i="66" s="1"/>
  <c r="E23" i="63"/>
  <c r="D23" i="65" s="1"/>
  <c r="E15" i="63"/>
  <c r="D15" i="65" s="1"/>
  <c r="E25" i="64"/>
  <c r="D25" i="66" s="1"/>
  <c r="E17" i="64"/>
  <c r="D17" i="66" s="1"/>
  <c r="E16" i="63"/>
  <c r="D16" i="65" s="1"/>
  <c r="E16" i="65" s="1"/>
  <c r="E15" i="64"/>
  <c r="D15" i="66" s="1"/>
  <c r="E15" i="66" s="1"/>
  <c r="E19" i="64"/>
  <c r="D19" i="66" s="1"/>
  <c r="E27" i="64"/>
  <c r="D27" i="66" s="1"/>
  <c r="E27" i="66" s="1"/>
  <c r="G52" i="31"/>
  <c r="C52" i="30" s="1"/>
  <c r="E68" i="29"/>
  <c r="C27" i="28" s="1"/>
  <c r="E21" i="64"/>
  <c r="D21" i="66" s="1"/>
  <c r="E21" i="66" s="1"/>
  <c r="E28" i="64"/>
  <c r="D28" i="66" s="1"/>
  <c r="E24" i="63"/>
  <c r="D24" i="65" s="1"/>
  <c r="E24" i="65" s="1"/>
  <c r="E28" i="66"/>
  <c r="E19" i="66"/>
  <c r="E18" i="66"/>
  <c r="E21" i="63"/>
  <c r="D21" i="65" s="1"/>
  <c r="E21" i="65" s="1"/>
  <c r="E23" i="64"/>
  <c r="D23" i="66" s="1"/>
  <c r="E23" i="66" s="1"/>
  <c r="C17" i="66"/>
  <c r="C25" i="66"/>
  <c r="E14" i="64"/>
  <c r="D14" i="66" s="1"/>
  <c r="E14" i="66" s="1"/>
  <c r="E26" i="64"/>
  <c r="D26" i="66" s="1"/>
  <c r="E26" i="66" s="1"/>
  <c r="C15" i="65"/>
  <c r="C23" i="65"/>
  <c r="B40" i="66"/>
  <c r="B40" i="65"/>
  <c r="E24" i="64"/>
  <c r="D24" i="66" s="1"/>
  <c r="E24" i="66" s="1"/>
  <c r="C31" i="64"/>
  <c r="E20" i="64"/>
  <c r="D20" i="66" s="1"/>
  <c r="E20" i="66" s="1"/>
  <c r="E16" i="64"/>
  <c r="D16" i="66" s="1"/>
  <c r="E16" i="66" s="1"/>
  <c r="E22" i="64"/>
  <c r="D22" i="66" s="1"/>
  <c r="E22" i="66" s="1"/>
  <c r="D31" i="64"/>
  <c r="D31" i="63"/>
  <c r="E22" i="63"/>
  <c r="D22" i="65" s="1"/>
  <c r="E22" i="65" s="1"/>
  <c r="E28" i="63"/>
  <c r="D28" i="65" s="1"/>
  <c r="E28" i="65" s="1"/>
  <c r="C31" i="63"/>
  <c r="E19" i="63"/>
  <c r="D19" i="65" s="1"/>
  <c r="E19" i="65" s="1"/>
  <c r="E20" i="63"/>
  <c r="D20" i="65" s="1"/>
  <c r="E20" i="65" s="1"/>
  <c r="E26" i="63"/>
  <c r="D26" i="65" s="1"/>
  <c r="E26" i="65" s="1"/>
  <c r="E18" i="63"/>
  <c r="D18" i="65" s="1"/>
  <c r="E18" i="65" s="1"/>
  <c r="E27" i="63"/>
  <c r="D27" i="65" s="1"/>
  <c r="E27" i="65" s="1"/>
  <c r="E14" i="63"/>
  <c r="D14" i="65" s="1"/>
  <c r="E14" i="65" s="1"/>
  <c r="I49" i="26"/>
  <c r="H49" i="26"/>
  <c r="G49" i="26"/>
  <c r="F49" i="26"/>
  <c r="E49" i="26"/>
  <c r="D49" i="26"/>
  <c r="C49" i="26"/>
  <c r="C24" i="26"/>
  <c r="M23" i="26"/>
  <c r="D23" i="26"/>
  <c r="C23" i="26"/>
  <c r="E22" i="26"/>
  <c r="D22" i="26"/>
  <c r="C22" i="26"/>
  <c r="F21" i="26"/>
  <c r="E21" i="26"/>
  <c r="D21" i="26"/>
  <c r="C21" i="26"/>
  <c r="G20" i="26"/>
  <c r="F20" i="26"/>
  <c r="E20" i="26"/>
  <c r="D20" i="26"/>
  <c r="C20" i="26"/>
  <c r="H19" i="26"/>
  <c r="G19" i="26"/>
  <c r="F19" i="26"/>
  <c r="E19" i="26"/>
  <c r="D19" i="26"/>
  <c r="C19" i="26"/>
  <c r="I18" i="26"/>
  <c r="H18" i="26"/>
  <c r="G18" i="26"/>
  <c r="F18" i="26"/>
  <c r="E18" i="26"/>
  <c r="D18" i="26"/>
  <c r="C18" i="26"/>
  <c r="I17" i="26"/>
  <c r="H17" i="26"/>
  <c r="G17" i="26"/>
  <c r="F17" i="26"/>
  <c r="E17" i="26"/>
  <c r="D17" i="26"/>
  <c r="C17" i="26"/>
  <c r="I16" i="26"/>
  <c r="H16" i="26"/>
  <c r="G16" i="26"/>
  <c r="F16" i="26"/>
  <c r="E16" i="26"/>
  <c r="D16" i="26"/>
  <c r="C16" i="26"/>
  <c r="I15" i="26"/>
  <c r="H15" i="26"/>
  <c r="G15" i="26"/>
  <c r="F15" i="26"/>
  <c r="E15" i="26"/>
  <c r="D15" i="26"/>
  <c r="C15" i="26"/>
  <c r="I14" i="26"/>
  <c r="H14" i="26"/>
  <c r="G14" i="26"/>
  <c r="F14" i="26"/>
  <c r="E14" i="26"/>
  <c r="D14" i="26"/>
  <c r="C14" i="26"/>
  <c r="B58" i="40"/>
  <c r="G47" i="40"/>
  <c r="F47" i="40"/>
  <c r="E47" i="40"/>
  <c r="C47" i="40"/>
  <c r="B47" i="40"/>
  <c r="A47" i="40"/>
  <c r="G46" i="40"/>
  <c r="F46" i="40"/>
  <c r="E46" i="40"/>
  <c r="C46" i="40"/>
  <c r="B46" i="40"/>
  <c r="A46" i="40"/>
  <c r="G45" i="40"/>
  <c r="F45" i="40"/>
  <c r="E45" i="40"/>
  <c r="C45" i="40"/>
  <c r="B45" i="40"/>
  <c r="A45" i="40"/>
  <c r="G44" i="40"/>
  <c r="F44" i="40"/>
  <c r="E44" i="40"/>
  <c r="C44" i="40"/>
  <c r="B44" i="40"/>
  <c r="A44" i="40"/>
  <c r="G43" i="40"/>
  <c r="F43" i="40"/>
  <c r="E43" i="40"/>
  <c r="C43" i="40"/>
  <c r="B43" i="40"/>
  <c r="A43" i="40"/>
  <c r="G42" i="40"/>
  <c r="F42" i="40"/>
  <c r="E42" i="40"/>
  <c r="C42" i="40"/>
  <c r="B42" i="40"/>
  <c r="A42" i="40"/>
  <c r="G41" i="40"/>
  <c r="F41" i="40"/>
  <c r="E41" i="40"/>
  <c r="C41" i="40"/>
  <c r="B41" i="40"/>
  <c r="A41" i="40"/>
  <c r="G40" i="40"/>
  <c r="F40" i="40"/>
  <c r="E40" i="40"/>
  <c r="C40" i="40"/>
  <c r="B40" i="40"/>
  <c r="A40" i="40"/>
  <c r="G39" i="40"/>
  <c r="F39" i="40"/>
  <c r="E39" i="40"/>
  <c r="C39" i="40"/>
  <c r="B39" i="40"/>
  <c r="A39" i="40"/>
  <c r="G38" i="40"/>
  <c r="F38" i="40"/>
  <c r="E38" i="40"/>
  <c r="C38" i="40"/>
  <c r="B38" i="40"/>
  <c r="A38" i="40"/>
  <c r="G37" i="40"/>
  <c r="F37" i="40"/>
  <c r="E37" i="40"/>
  <c r="C37" i="40"/>
  <c r="B37" i="40"/>
  <c r="A37" i="40"/>
  <c r="G36" i="40"/>
  <c r="F36" i="40"/>
  <c r="E36" i="40"/>
  <c r="C36" i="40"/>
  <c r="B36" i="40"/>
  <c r="A36" i="40"/>
  <c r="G35" i="40"/>
  <c r="F35" i="40"/>
  <c r="E35" i="40"/>
  <c r="C35" i="40"/>
  <c r="B35" i="40"/>
  <c r="A35" i="40"/>
  <c r="G34" i="40"/>
  <c r="F34" i="40"/>
  <c r="E34" i="40"/>
  <c r="C34" i="40"/>
  <c r="B34" i="40"/>
  <c r="A34" i="40"/>
  <c r="G33" i="40"/>
  <c r="F33" i="40"/>
  <c r="E33" i="40"/>
  <c r="C33" i="40"/>
  <c r="B33" i="40"/>
  <c r="A33" i="40"/>
  <c r="G32" i="40"/>
  <c r="F32" i="40"/>
  <c r="E32" i="40"/>
  <c r="C32" i="40"/>
  <c r="B32" i="40"/>
  <c r="A32" i="40"/>
  <c r="G31" i="40"/>
  <c r="F31" i="40"/>
  <c r="E31" i="40"/>
  <c r="C31" i="40"/>
  <c r="B31" i="40"/>
  <c r="A31" i="40"/>
  <c r="G30" i="40"/>
  <c r="F30" i="40"/>
  <c r="E30" i="40"/>
  <c r="C30" i="40"/>
  <c r="B30" i="40"/>
  <c r="A30" i="40"/>
  <c r="G29" i="40"/>
  <c r="F29" i="40"/>
  <c r="E29" i="40"/>
  <c r="C29" i="40"/>
  <c r="B29" i="40"/>
  <c r="A29" i="40"/>
  <c r="G28" i="40"/>
  <c r="F28" i="40"/>
  <c r="E28" i="40"/>
  <c r="C28" i="40"/>
  <c r="B28" i="40"/>
  <c r="A28" i="40"/>
  <c r="G27" i="40"/>
  <c r="F27" i="40"/>
  <c r="E27" i="40"/>
  <c r="C27" i="40"/>
  <c r="B27" i="40"/>
  <c r="A27" i="40"/>
  <c r="G26" i="40"/>
  <c r="F26" i="40"/>
  <c r="E26" i="40"/>
  <c r="C26" i="40"/>
  <c r="B26" i="40"/>
  <c r="A26" i="40"/>
  <c r="G25" i="40"/>
  <c r="F25" i="40"/>
  <c r="E25" i="40"/>
  <c r="C25" i="40"/>
  <c r="B25" i="40"/>
  <c r="A25" i="40"/>
  <c r="G24" i="40"/>
  <c r="F24" i="40"/>
  <c r="E24" i="40"/>
  <c r="C24" i="40"/>
  <c r="B24" i="40"/>
  <c r="A24" i="40"/>
  <c r="G23" i="40"/>
  <c r="F23" i="40"/>
  <c r="E23" i="40"/>
  <c r="C23" i="40"/>
  <c r="B23" i="40"/>
  <c r="A23" i="40"/>
  <c r="G22" i="40"/>
  <c r="F22" i="40"/>
  <c r="E22" i="40"/>
  <c r="C22" i="40"/>
  <c r="B22" i="40"/>
  <c r="A22" i="40"/>
  <c r="G21" i="40"/>
  <c r="F21" i="40"/>
  <c r="E21" i="40"/>
  <c r="C21" i="40"/>
  <c r="B21" i="40"/>
  <c r="A21" i="40"/>
  <c r="G20" i="40"/>
  <c r="F20" i="40"/>
  <c r="E20" i="40"/>
  <c r="C20" i="40"/>
  <c r="B20" i="40"/>
  <c r="A20" i="40"/>
  <c r="G19" i="40"/>
  <c r="F19" i="40"/>
  <c r="E19" i="40"/>
  <c r="C19" i="40"/>
  <c r="B19" i="40"/>
  <c r="A19" i="40"/>
  <c r="G18" i="40"/>
  <c r="F18" i="40"/>
  <c r="E18" i="40"/>
  <c r="C18" i="40"/>
  <c r="B18" i="40"/>
  <c r="A18" i="40"/>
  <c r="G17" i="40"/>
  <c r="F17" i="40"/>
  <c r="E17" i="40"/>
  <c r="C17" i="40"/>
  <c r="B17" i="40"/>
  <c r="A17" i="40"/>
  <c r="G16" i="40"/>
  <c r="F16" i="40"/>
  <c r="E16" i="40"/>
  <c r="C16" i="40"/>
  <c r="B16" i="40"/>
  <c r="A16" i="40"/>
  <c r="G15" i="40"/>
  <c r="F15" i="40"/>
  <c r="E15" i="40"/>
  <c r="C15" i="40"/>
  <c r="B15" i="40"/>
  <c r="A15" i="40"/>
  <c r="G14" i="40"/>
  <c r="F14" i="40"/>
  <c r="E14" i="40"/>
  <c r="C14" i="40"/>
  <c r="B14" i="40"/>
  <c r="A14" i="40"/>
  <c r="E15" i="45"/>
  <c r="E16" i="45"/>
  <c r="E17" i="45"/>
  <c r="E18" i="45"/>
  <c r="E19" i="45"/>
  <c r="E20" i="45"/>
  <c r="E21" i="45"/>
  <c r="E22" i="45"/>
  <c r="E23" i="45"/>
  <c r="E24" i="45"/>
  <c r="E25" i="45"/>
  <c r="E26" i="45"/>
  <c r="E14" i="45"/>
  <c r="C15" i="45"/>
  <c r="C16" i="45"/>
  <c r="C17" i="45"/>
  <c r="C18" i="45"/>
  <c r="C19" i="45"/>
  <c r="C20" i="45"/>
  <c r="C21" i="45"/>
  <c r="C22" i="45"/>
  <c r="C23" i="45"/>
  <c r="C24" i="45"/>
  <c r="C25" i="45"/>
  <c r="C26" i="45"/>
  <c r="C27" i="45"/>
  <c r="C14" i="45"/>
  <c r="E17" i="66" l="1"/>
  <c r="E15" i="65"/>
  <c r="E23" i="65"/>
  <c r="E31" i="65" s="1"/>
  <c r="E34" i="65" s="1"/>
  <c r="C19" i="27" s="1"/>
  <c r="E25" i="66"/>
  <c r="E31" i="66" s="1"/>
  <c r="E34" i="66" s="1"/>
  <c r="C29" i="45"/>
  <c r="E29" i="45"/>
  <c r="D53" i="40"/>
  <c r="D54" i="40"/>
  <c r="C31" i="66"/>
  <c r="D27" i="45"/>
  <c r="D23" i="44" s="1"/>
  <c r="E23" i="44" s="1"/>
  <c r="C31" i="65"/>
  <c r="E31" i="64"/>
  <c r="E31" i="63"/>
  <c r="B46" i="46"/>
  <c r="A46" i="46"/>
  <c r="B44" i="46"/>
  <c r="A44" i="46"/>
  <c r="B42" i="46"/>
  <c r="A42" i="46"/>
  <c r="B40" i="46"/>
  <c r="A40" i="46"/>
  <c r="L11" i="46"/>
  <c r="B54" i="46"/>
  <c r="B52" i="46"/>
  <c r="G46" i="46"/>
  <c r="G44" i="46"/>
  <c r="G36" i="46"/>
  <c r="F35" i="46"/>
  <c r="E35" i="46"/>
  <c r="D35" i="46"/>
  <c r="G32" i="46"/>
  <c r="F29" i="46"/>
  <c r="E29" i="46"/>
  <c r="D29" i="46"/>
  <c r="F26" i="46"/>
  <c r="E26" i="46"/>
  <c r="D26" i="46"/>
  <c r="G23" i="46"/>
  <c r="F22" i="46"/>
  <c r="E22" i="46"/>
  <c r="D22" i="46"/>
  <c r="G19" i="46"/>
  <c r="F18" i="46"/>
  <c r="E18" i="46"/>
  <c r="D18" i="46"/>
  <c r="F15" i="46"/>
  <c r="E15" i="46"/>
  <c r="D15" i="46"/>
  <c r="F14" i="46"/>
  <c r="E14" i="46"/>
  <c r="D14" i="46"/>
  <c r="F18" i="58"/>
  <c r="E18" i="58"/>
  <c r="F13" i="58"/>
  <c r="E13" i="58"/>
  <c r="C13" i="58"/>
  <c r="K10" i="58"/>
  <c r="J10" i="58"/>
  <c r="D10" i="58"/>
  <c r="F7" i="58"/>
  <c r="E7" i="58"/>
  <c r="D7" i="58"/>
  <c r="B47" i="48"/>
  <c r="F41" i="48"/>
  <c r="F40" i="48"/>
  <c r="F39" i="48"/>
  <c r="F38" i="48"/>
  <c r="F37" i="48"/>
  <c r="F36" i="48"/>
  <c r="F35" i="48"/>
  <c r="F34" i="48"/>
  <c r="F33" i="48"/>
  <c r="F32" i="48"/>
  <c r="F31" i="48"/>
  <c r="F30" i="48"/>
  <c r="F29" i="48"/>
  <c r="F28" i="48"/>
  <c r="F27" i="48"/>
  <c r="F26" i="48"/>
  <c r="F25" i="48"/>
  <c r="F24" i="48"/>
  <c r="F23" i="48"/>
  <c r="F22" i="48"/>
  <c r="D22" i="48"/>
  <c r="C22" i="48"/>
  <c r="F21" i="48"/>
  <c r="D21" i="48"/>
  <c r="C21" i="48"/>
  <c r="F20" i="48"/>
  <c r="D20" i="48"/>
  <c r="C20" i="48"/>
  <c r="F19" i="48"/>
  <c r="D19" i="48"/>
  <c r="C19" i="48"/>
  <c r="F18" i="48"/>
  <c r="D18" i="48"/>
  <c r="C18" i="48"/>
  <c r="F17" i="48"/>
  <c r="D17" i="48"/>
  <c r="C17" i="48"/>
  <c r="F16" i="48"/>
  <c r="D16" i="48"/>
  <c r="C16" i="48"/>
  <c r="F15" i="48"/>
  <c r="D15" i="48"/>
  <c r="C15" i="48"/>
  <c r="F14" i="48"/>
  <c r="D14" i="48"/>
  <c r="C14" i="48"/>
  <c r="D23" i="42" l="1"/>
  <c r="D23" i="41"/>
  <c r="D23" i="43"/>
  <c r="D31" i="66"/>
  <c r="D31" i="65"/>
  <c r="C20" i="27"/>
  <c r="F43" i="48"/>
  <c r="L21" i="41"/>
  <c r="E41" i="17"/>
  <c r="E42" i="17"/>
  <c r="E43" i="17"/>
  <c r="E44" i="17"/>
  <c r="E45" i="17"/>
  <c r="E46" i="17"/>
  <c r="E47" i="17"/>
  <c r="E48" i="17"/>
  <c r="E49" i="17"/>
  <c r="E50" i="17"/>
  <c r="E51" i="17"/>
  <c r="E52" i="17"/>
  <c r="D15" i="17" l="1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44" i="17"/>
  <c r="D45" i="17"/>
  <c r="D46" i="17"/>
  <c r="D47" i="17"/>
  <c r="D48" i="17"/>
  <c r="D49" i="17"/>
  <c r="D50" i="17"/>
  <c r="D51" i="17"/>
  <c r="D52" i="17"/>
  <c r="D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C39" i="17"/>
  <c r="C40" i="17"/>
  <c r="C41" i="17"/>
  <c r="C42" i="17"/>
  <c r="C43" i="17"/>
  <c r="C44" i="17"/>
  <c r="C45" i="17"/>
  <c r="C46" i="17"/>
  <c r="C47" i="17"/>
  <c r="C48" i="17"/>
  <c r="C49" i="17"/>
  <c r="C50" i="17"/>
  <c r="C51" i="17"/>
  <c r="C52" i="17"/>
  <c r="C14" i="17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47" i="19"/>
  <c r="C48" i="19"/>
  <c r="C49" i="19"/>
  <c r="C50" i="19"/>
  <c r="C51" i="19"/>
  <c r="C52" i="19"/>
  <c r="C53" i="19"/>
  <c r="C14" i="19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C46" i="20"/>
  <c r="C47" i="20"/>
  <c r="C48" i="20"/>
  <c r="C49" i="20"/>
  <c r="C50" i="20"/>
  <c r="C51" i="20"/>
  <c r="C52" i="20"/>
  <c r="C53" i="20"/>
  <c r="C14" i="20"/>
  <c r="C15" i="21"/>
  <c r="C16" i="21"/>
  <c r="C17" i="21"/>
  <c r="C18" i="21"/>
  <c r="C19" i="21"/>
  <c r="C20" i="21"/>
  <c r="C21" i="21"/>
  <c r="C22" i="21"/>
  <c r="C23" i="21"/>
  <c r="C24" i="21"/>
  <c r="C25" i="21"/>
  <c r="C26" i="21"/>
  <c r="C27" i="21"/>
  <c r="C28" i="21"/>
  <c r="C29" i="21"/>
  <c r="C30" i="21"/>
  <c r="C31" i="21"/>
  <c r="C32" i="21"/>
  <c r="C33" i="21"/>
  <c r="C34" i="21"/>
  <c r="C35" i="21"/>
  <c r="C36" i="21"/>
  <c r="C37" i="21"/>
  <c r="C38" i="21"/>
  <c r="C39" i="21"/>
  <c r="C40" i="21"/>
  <c r="C41" i="21"/>
  <c r="C42" i="21"/>
  <c r="C43" i="21"/>
  <c r="C44" i="21"/>
  <c r="C45" i="21"/>
  <c r="C46" i="21"/>
  <c r="C47" i="21"/>
  <c r="C48" i="21"/>
  <c r="C49" i="21"/>
  <c r="C50" i="21"/>
  <c r="C51" i="21"/>
  <c r="C52" i="21"/>
  <c r="C53" i="21"/>
  <c r="C54" i="21"/>
  <c r="C55" i="21"/>
  <c r="C14" i="21"/>
  <c r="B37" i="38"/>
  <c r="B37" i="36"/>
  <c r="D55" i="21" l="1"/>
  <c r="E20" i="58"/>
  <c r="F20" i="58"/>
  <c r="E15" i="58"/>
  <c r="F15" i="58"/>
  <c r="D70" i="29" l="1"/>
  <c r="Q30" i="17" l="1"/>
  <c r="Q34" i="17"/>
  <c r="Q38" i="17"/>
  <c r="Q42" i="17"/>
  <c r="Q46" i="17"/>
  <c r="Q50" i="17"/>
  <c r="Q26" i="17" l="1"/>
  <c r="Q14" i="17"/>
  <c r="Q22" i="17"/>
  <c r="Q18" i="17"/>
  <c r="Q49" i="17"/>
  <c r="Q45" i="17"/>
  <c r="Q41" i="17"/>
  <c r="Q37" i="17"/>
  <c r="Q33" i="17"/>
  <c r="Q29" i="17"/>
  <c r="Q25" i="17"/>
  <c r="Q21" i="17"/>
  <c r="Q17" i="17"/>
  <c r="Q48" i="17"/>
  <c r="Q44" i="17"/>
  <c r="Q40" i="17"/>
  <c r="Q36" i="17"/>
  <c r="Q32" i="17"/>
  <c r="Q28" i="17"/>
  <c r="Q24" i="17"/>
  <c r="Q20" i="17"/>
  <c r="Q16" i="17"/>
  <c r="Q52" i="17"/>
  <c r="F52" i="17"/>
  <c r="Q51" i="17"/>
  <c r="Q47" i="17"/>
  <c r="Q43" i="17"/>
  <c r="Q39" i="17"/>
  <c r="Q35" i="17"/>
  <c r="Q31" i="17"/>
  <c r="Q27" i="17"/>
  <c r="Q23" i="17"/>
  <c r="Q19" i="17"/>
  <c r="Q15" i="17"/>
  <c r="C54" i="22" l="1"/>
  <c r="D54" i="22"/>
  <c r="E54" i="22" l="1"/>
  <c r="D51" i="33" l="1"/>
  <c r="T48" i="31"/>
  <c r="E25" i="36"/>
  <c r="E14" i="36" l="1"/>
  <c r="E21" i="36"/>
  <c r="E17" i="36"/>
  <c r="E28" i="36"/>
  <c r="E24" i="36"/>
  <c r="E20" i="36"/>
  <c r="E16" i="36"/>
  <c r="E27" i="36"/>
  <c r="E23" i="36"/>
  <c r="E19" i="36"/>
  <c r="E15" i="36"/>
  <c r="E26" i="36"/>
  <c r="E22" i="36"/>
  <c r="E18" i="36"/>
  <c r="D51" i="34"/>
  <c r="E26" i="38" l="1"/>
  <c r="E22" i="38"/>
  <c r="E18" i="38"/>
  <c r="E14" i="38"/>
  <c r="E25" i="38"/>
  <c r="E21" i="38"/>
  <c r="E17" i="38"/>
  <c r="E28" i="38"/>
  <c r="E24" i="38"/>
  <c r="E20" i="38"/>
  <c r="E16" i="38"/>
  <c r="E27" i="38"/>
  <c r="E23" i="38"/>
  <c r="E19" i="38"/>
  <c r="E15" i="38"/>
  <c r="D26" i="45" l="1"/>
  <c r="D22" i="44" s="1"/>
  <c r="F11" i="46"/>
  <c r="E11" i="46" s="1"/>
  <c r="D11" i="46" s="1"/>
  <c r="D22" i="42" l="1"/>
  <c r="D22" i="43"/>
  <c r="D22" i="41"/>
  <c r="F60" i="62"/>
  <c r="H59" i="62"/>
  <c r="F59" i="62"/>
  <c r="H58" i="62"/>
  <c r="F58" i="62"/>
  <c r="H57" i="62"/>
  <c r="F57" i="62"/>
  <c r="H56" i="62"/>
  <c r="F56" i="62"/>
  <c r="H55" i="62"/>
  <c r="F55" i="62"/>
  <c r="H54" i="62"/>
  <c r="F54" i="62"/>
  <c r="H53" i="62"/>
  <c r="F53" i="62"/>
  <c r="F52" i="62"/>
  <c r="H49" i="62"/>
  <c r="F49" i="62"/>
  <c r="H48" i="62"/>
  <c r="F48" i="62"/>
  <c r="H45" i="62"/>
  <c r="F45" i="62"/>
  <c r="H44" i="62"/>
  <c r="F44" i="62"/>
  <c r="H43" i="62"/>
  <c r="F43" i="62"/>
  <c r="H42" i="62"/>
  <c r="F42" i="62"/>
  <c r="H41" i="62"/>
  <c r="F41" i="62"/>
  <c r="H40" i="62"/>
  <c r="F40" i="62"/>
  <c r="H38" i="62"/>
  <c r="F38" i="62"/>
  <c r="H37" i="62"/>
  <c r="F37" i="62"/>
  <c r="F36" i="62"/>
  <c r="H35" i="62"/>
  <c r="F35" i="62"/>
  <c r="H34" i="62"/>
  <c r="F34" i="62"/>
  <c r="H33" i="62"/>
  <c r="F33" i="62"/>
  <c r="H32" i="62"/>
  <c r="F32" i="62"/>
  <c r="H31" i="62"/>
  <c r="F31" i="62"/>
  <c r="H30" i="62"/>
  <c r="F30" i="62"/>
  <c r="H29" i="62"/>
  <c r="F29" i="62"/>
  <c r="H28" i="62"/>
  <c r="F28" i="62"/>
  <c r="H27" i="62"/>
  <c r="F27" i="62"/>
  <c r="H25" i="62"/>
  <c r="F25" i="62"/>
  <c r="H24" i="62"/>
  <c r="F24" i="62"/>
  <c r="H23" i="62"/>
  <c r="F23" i="62"/>
  <c r="H22" i="62"/>
  <c r="F22" i="62"/>
  <c r="H21" i="62"/>
  <c r="F21" i="62"/>
  <c r="H20" i="62"/>
  <c r="F20" i="62"/>
  <c r="H19" i="62"/>
  <c r="F19" i="62"/>
  <c r="H18" i="62"/>
  <c r="F18" i="62"/>
  <c r="H17" i="62"/>
  <c r="F17" i="62"/>
  <c r="H16" i="62"/>
  <c r="F16" i="62"/>
  <c r="H15" i="62"/>
  <c r="F15" i="62"/>
  <c r="H14" i="62"/>
  <c r="F14" i="62"/>
  <c r="H13" i="62"/>
  <c r="F13" i="62"/>
  <c r="H12" i="62"/>
  <c r="F12" i="62"/>
  <c r="H11" i="62"/>
  <c r="F11" i="62"/>
  <c r="H10" i="62"/>
  <c r="F10" i="62"/>
  <c r="F9" i="62"/>
  <c r="D12" i="28" l="1"/>
  <c r="A14" i="29" l="1"/>
  <c r="A15" i="29" l="1"/>
  <c r="A16" i="29" s="1"/>
  <c r="AX36" i="31" l="1"/>
  <c r="AW37" i="31"/>
  <c r="AW35" i="31"/>
  <c r="AW36" i="31" s="1"/>
  <c r="AV36" i="31"/>
  <c r="AV35" i="31" s="1"/>
  <c r="AU33" i="31"/>
  <c r="AU34" i="31" s="1"/>
  <c r="AT34" i="31"/>
  <c r="AT33" i="31" s="1"/>
  <c r="X13" i="31"/>
  <c r="Y13" i="31" s="1"/>
  <c r="Z13" i="31" s="1"/>
  <c r="AA13" i="31" s="1"/>
  <c r="AB13" i="31" s="1"/>
  <c r="AC13" i="31" s="1"/>
  <c r="AD13" i="31" s="1"/>
  <c r="AE13" i="31" s="1"/>
  <c r="AF13" i="31" s="1"/>
  <c r="AG13" i="31" s="1"/>
  <c r="AH13" i="31" s="1"/>
  <c r="AI13" i="31" s="1"/>
  <c r="AJ13" i="31" s="1"/>
  <c r="AK13" i="31" s="1"/>
  <c r="AL13" i="31" s="1"/>
  <c r="AM13" i="31" s="1"/>
  <c r="AN13" i="31" s="1"/>
  <c r="AO13" i="31" s="1"/>
  <c r="AP13" i="31" s="1"/>
  <c r="AQ13" i="31" s="1"/>
  <c r="AR13" i="31" s="1"/>
  <c r="AS13" i="31" s="1"/>
  <c r="AT13" i="31" s="1"/>
  <c r="AU13" i="31" s="1"/>
  <c r="AV13" i="31" s="1"/>
  <c r="AW13" i="31" s="1"/>
  <c r="AX13" i="31" s="1"/>
  <c r="AY13" i="31" s="1"/>
  <c r="AZ13" i="31" s="1"/>
  <c r="BA13" i="31" s="1"/>
  <c r="BB13" i="31" s="1"/>
  <c r="BC13" i="31" s="1"/>
  <c r="BD13" i="31" s="1"/>
  <c r="BE13" i="31" s="1"/>
  <c r="BF13" i="31" s="1"/>
  <c r="BG13" i="31" s="1"/>
  <c r="T16" i="31"/>
  <c r="T17" i="31"/>
  <c r="T18" i="31"/>
  <c r="T19" i="31"/>
  <c r="T20" i="31"/>
  <c r="T21" i="31"/>
  <c r="T22" i="31"/>
  <c r="T23" i="31"/>
  <c r="T24" i="31"/>
  <c r="T25" i="31"/>
  <c r="T26" i="31"/>
  <c r="T27" i="31"/>
  <c r="T28" i="31"/>
  <c r="T29" i="31"/>
  <c r="T30" i="31"/>
  <c r="T31" i="31"/>
  <c r="T32" i="31"/>
  <c r="T33" i="31"/>
  <c r="T34" i="31"/>
  <c r="T35" i="31"/>
  <c r="T36" i="31"/>
  <c r="T37" i="31"/>
  <c r="T38" i="31"/>
  <c r="T39" i="31"/>
  <c r="T40" i="31"/>
  <c r="T41" i="31"/>
  <c r="T42" i="31"/>
  <c r="T43" i="31"/>
  <c r="T44" i="31"/>
  <c r="T45" i="31"/>
  <c r="T46" i="31"/>
  <c r="T47" i="31"/>
  <c r="T15" i="31"/>
  <c r="V41" i="31" l="1"/>
  <c r="V49" i="31"/>
  <c r="V17" i="31"/>
  <c r="D21" i="31" s="1"/>
  <c r="V25" i="31"/>
  <c r="D29" i="31" s="1"/>
  <c r="V43" i="31"/>
  <c r="V31" i="31"/>
  <c r="V36" i="31"/>
  <c r="V44" i="31"/>
  <c r="V48" i="31"/>
  <c r="V20" i="31"/>
  <c r="D24" i="31" s="1"/>
  <c r="V28" i="31"/>
  <c r="D32" i="31" s="1"/>
  <c r="V40" i="31"/>
  <c r="V21" i="31"/>
  <c r="D25" i="31" s="1"/>
  <c r="V29" i="31"/>
  <c r="D33" i="31" s="1"/>
  <c r="V46" i="31"/>
  <c r="V23" i="31"/>
  <c r="D27" i="31" s="1"/>
  <c r="V22" i="31"/>
  <c r="D26" i="31" s="1"/>
  <c r="V30" i="31"/>
  <c r="V39" i="31"/>
  <c r="V47" i="31"/>
  <c r="V15" i="31"/>
  <c r="D19" i="31" s="1"/>
  <c r="V26" i="31"/>
  <c r="D30" i="31" s="1"/>
  <c r="V35" i="31"/>
  <c r="V14" i="31"/>
  <c r="K14" i="31" s="1"/>
  <c r="V16" i="31"/>
  <c r="D20" i="31" s="1"/>
  <c r="V32" i="31"/>
  <c r="V42" i="31"/>
  <c r="V27" i="31"/>
  <c r="D31" i="31" s="1"/>
  <c r="V19" i="31"/>
  <c r="D23" i="31" s="1"/>
  <c r="V18" i="31"/>
  <c r="D22" i="31" s="1"/>
  <c r="V24" i="31"/>
  <c r="D28" i="31" s="1"/>
  <c r="V45" i="31"/>
  <c r="V37" i="31"/>
  <c r="AX37" i="31"/>
  <c r="V38" i="31" l="1"/>
  <c r="E13" i="29"/>
  <c r="G13" i="29" s="1"/>
  <c r="E14" i="29"/>
  <c r="G14" i="29" s="1"/>
  <c r="E16" i="29"/>
  <c r="G16" i="29" s="1"/>
  <c r="E15" i="29"/>
  <c r="C13" i="28" s="1"/>
  <c r="E17" i="29"/>
  <c r="C14" i="28" s="1"/>
  <c r="E21" i="29"/>
  <c r="D14" i="31"/>
  <c r="E14" i="31" s="1"/>
  <c r="V34" i="31"/>
  <c r="V33" i="31"/>
  <c r="I17" i="15"/>
  <c r="I16" i="15"/>
  <c r="B54" i="28"/>
  <c r="C12" i="28"/>
  <c r="F12" i="28"/>
  <c r="B51" i="28" s="1"/>
  <c r="G15" i="29" l="1"/>
  <c r="E13" i="28" s="1"/>
  <c r="C53" i="22" l="1"/>
  <c r="C26" i="14" l="1"/>
  <c r="R22" i="15"/>
  <c r="A22" i="15" s="1"/>
  <c r="R21" i="15" l="1"/>
  <c r="A21" i="15" l="1"/>
  <c r="R20" i="15"/>
  <c r="D53" i="22"/>
  <c r="E53" i="22" s="1"/>
  <c r="A20" i="15" l="1"/>
  <c r="R19" i="15"/>
  <c r="A19" i="15" l="1"/>
  <c r="R18" i="15"/>
  <c r="C39" i="60"/>
  <c r="L43" i="28"/>
  <c r="A23" i="41"/>
  <c r="A22" i="41" s="1"/>
  <c r="R17" i="15" l="1"/>
  <c r="A18" i="15"/>
  <c r="R16" i="15" l="1"/>
  <c r="A17" i="15"/>
  <c r="P32" i="18"/>
  <c r="O32" i="18"/>
  <c r="N32" i="18" l="1"/>
  <c r="R15" i="15"/>
  <c r="A16" i="15"/>
  <c r="R14" i="15" l="1"/>
  <c r="A14" i="15" s="1"/>
  <c r="A15" i="15"/>
  <c r="L11" i="36" l="1"/>
  <c r="M11" i="35" s="1"/>
  <c r="M11" i="65" l="1"/>
  <c r="C11" i="65" s="1"/>
  <c r="M11" i="66"/>
  <c r="C11" i="66" s="1"/>
  <c r="D31" i="38"/>
  <c r="L21" i="43" l="1"/>
  <c r="A23" i="43" s="1"/>
  <c r="A22" i="43" s="1"/>
  <c r="G12" i="30" l="1"/>
  <c r="J35" i="58" l="1"/>
  <c r="K45" i="60" l="1"/>
  <c r="E37" i="60"/>
  <c r="E33" i="60"/>
  <c r="I31" i="60"/>
  <c r="K39" i="60"/>
  <c r="J39" i="60"/>
  <c r="I39" i="60"/>
  <c r="H39" i="60"/>
  <c r="G39" i="60"/>
  <c r="F39" i="60"/>
  <c r="E39" i="60"/>
  <c r="D39" i="60"/>
  <c r="K38" i="60"/>
  <c r="J38" i="60"/>
  <c r="I38" i="60"/>
  <c r="H38" i="60"/>
  <c r="G38" i="60"/>
  <c r="F38" i="60"/>
  <c r="E38" i="60"/>
  <c r="K37" i="60"/>
  <c r="J37" i="60"/>
  <c r="I37" i="60"/>
  <c r="H37" i="60"/>
  <c r="G37" i="60"/>
  <c r="F37" i="60"/>
  <c r="K36" i="60"/>
  <c r="J36" i="60"/>
  <c r="I36" i="60"/>
  <c r="H36" i="60"/>
  <c r="G36" i="60"/>
  <c r="K35" i="60"/>
  <c r="J35" i="60"/>
  <c r="I35" i="60"/>
  <c r="H35" i="60"/>
  <c r="K34" i="60"/>
  <c r="J34" i="60"/>
  <c r="I34" i="60"/>
  <c r="K33" i="60"/>
  <c r="J33" i="60"/>
  <c r="K32" i="60"/>
  <c r="K29" i="60"/>
  <c r="J29" i="60"/>
  <c r="I29" i="60"/>
  <c r="H29" i="60"/>
  <c r="G29" i="60"/>
  <c r="F29" i="60"/>
  <c r="E29" i="60"/>
  <c r="D29" i="60"/>
  <c r="C29" i="60"/>
  <c r="A29" i="60"/>
  <c r="K12" i="60"/>
  <c r="J12" i="60"/>
  <c r="I12" i="60"/>
  <c r="H12" i="60"/>
  <c r="G12" i="60"/>
  <c r="F12" i="60"/>
  <c r="E12" i="60"/>
  <c r="D12" i="60"/>
  <c r="C12" i="60"/>
  <c r="A12" i="60"/>
  <c r="A3" i="60"/>
  <c r="A2" i="60"/>
  <c r="A1" i="60"/>
  <c r="C17" i="7"/>
  <c r="C18" i="7"/>
  <c r="C20" i="7"/>
  <c r="C21" i="7"/>
  <c r="C22" i="7"/>
  <c r="C23" i="7"/>
  <c r="C14" i="7"/>
  <c r="E14" i="7" s="1"/>
  <c r="C14" i="3" s="1"/>
  <c r="C15" i="8"/>
  <c r="C17" i="8"/>
  <c r="C18" i="8"/>
  <c r="C19" i="8"/>
  <c r="C20" i="8"/>
  <c r="C21" i="8"/>
  <c r="C22" i="8"/>
  <c r="C23" i="8"/>
  <c r="C15" i="9"/>
  <c r="C18" i="9"/>
  <c r="C19" i="9"/>
  <c r="C20" i="9"/>
  <c r="C22" i="9"/>
  <c r="E23" i="13"/>
  <c r="C14" i="9"/>
  <c r="E14" i="9" s="1"/>
  <c r="C14" i="5" s="1"/>
  <c r="C16" i="10"/>
  <c r="C17" i="10"/>
  <c r="C19" i="10"/>
  <c r="C20" i="10"/>
  <c r="C21" i="10"/>
  <c r="A14" i="25"/>
  <c r="D14" i="22"/>
  <c r="C52" i="22"/>
  <c r="N5" i="28"/>
  <c r="E53" i="40" s="1"/>
  <c r="E54" i="40"/>
  <c r="I50" i="26"/>
  <c r="A24" i="26"/>
  <c r="A23" i="26" s="1"/>
  <c r="A22" i="26" s="1"/>
  <c r="A40" i="26" s="1"/>
  <c r="M11" i="26"/>
  <c r="C11" i="26" s="1"/>
  <c r="D11" i="26" s="1"/>
  <c r="E11" i="26" s="1"/>
  <c r="F11" i="26" s="1"/>
  <c r="D51" i="22"/>
  <c r="D50" i="22"/>
  <c r="D49" i="22"/>
  <c r="D48" i="22"/>
  <c r="D47" i="22"/>
  <c r="D46" i="22"/>
  <c r="D45" i="22"/>
  <c r="D44" i="22"/>
  <c r="D43" i="22"/>
  <c r="D42" i="22"/>
  <c r="D41" i="22"/>
  <c r="D40" i="22"/>
  <c r="D39" i="22"/>
  <c r="D38" i="22"/>
  <c r="D37" i="22"/>
  <c r="D36" i="22"/>
  <c r="D35" i="22"/>
  <c r="D34" i="22"/>
  <c r="D33" i="22"/>
  <c r="D32" i="22"/>
  <c r="D31" i="22"/>
  <c r="D30" i="22"/>
  <c r="D29" i="22"/>
  <c r="D28" i="22"/>
  <c r="D27" i="22"/>
  <c r="D26" i="22"/>
  <c r="D25" i="22"/>
  <c r="D24" i="22"/>
  <c r="D23" i="22"/>
  <c r="D22" i="22"/>
  <c r="D21" i="22"/>
  <c r="D20" i="22"/>
  <c r="D19" i="22"/>
  <c r="D18" i="22"/>
  <c r="D17" i="22"/>
  <c r="D16" i="22"/>
  <c r="D15" i="22"/>
  <c r="I48" i="24"/>
  <c r="A23" i="24"/>
  <c r="A22" i="24" s="1"/>
  <c r="M11" i="24"/>
  <c r="C11" i="24" s="1"/>
  <c r="C50" i="22"/>
  <c r="C49" i="22"/>
  <c r="C48" i="22"/>
  <c r="C47" i="22"/>
  <c r="C46" i="22"/>
  <c r="C45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1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21" i="18"/>
  <c r="D16" i="18"/>
  <c r="E18" i="18"/>
  <c r="L21" i="44"/>
  <c r="C28" i="37"/>
  <c r="C27" i="37"/>
  <c r="C26" i="37"/>
  <c r="C25" i="37"/>
  <c r="C24" i="37"/>
  <c r="C23" i="37"/>
  <c r="C22" i="37"/>
  <c r="C21" i="37"/>
  <c r="C20" i="37"/>
  <c r="C18" i="37"/>
  <c r="C17" i="37"/>
  <c r="C16" i="37"/>
  <c r="C14" i="37"/>
  <c r="C28" i="35"/>
  <c r="C27" i="35"/>
  <c r="C26" i="35"/>
  <c r="C24" i="35"/>
  <c r="C23" i="35"/>
  <c r="C22" i="35"/>
  <c r="C21" i="35"/>
  <c r="C20" i="35"/>
  <c r="C19" i="35"/>
  <c r="C18" i="35"/>
  <c r="C17" i="35"/>
  <c r="C16" i="35"/>
  <c r="C15" i="35"/>
  <c r="C14" i="35"/>
  <c r="C11" i="36"/>
  <c r="M47" i="29"/>
  <c r="D32" i="16"/>
  <c r="M22" i="9"/>
  <c r="L11" i="5"/>
  <c r="A12" i="32"/>
  <c r="B41" i="35"/>
  <c r="E33" i="37"/>
  <c r="A15" i="23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K45" i="16"/>
  <c r="N9" i="20"/>
  <c r="N14" i="31"/>
  <c r="O26" i="31" s="1"/>
  <c r="B51" i="15"/>
  <c r="N51" i="17"/>
  <c r="N50" i="17" s="1"/>
  <c r="A52" i="17"/>
  <c r="O52" i="17"/>
  <c r="E12" i="14"/>
  <c r="D12" i="14"/>
  <c r="C12" i="14"/>
  <c r="E12" i="13"/>
  <c r="D12" i="13"/>
  <c r="B31" i="13" s="1"/>
  <c r="C12" i="13"/>
  <c r="E12" i="12"/>
  <c r="D12" i="12"/>
  <c r="C12" i="12"/>
  <c r="E12" i="11"/>
  <c r="D12" i="11"/>
  <c r="C12" i="11"/>
  <c r="D11" i="29"/>
  <c r="A1" i="48"/>
  <c r="A2" i="48"/>
  <c r="A3" i="48"/>
  <c r="A12" i="48"/>
  <c r="C12" i="48"/>
  <c r="D12" i="48"/>
  <c r="E12" i="48"/>
  <c r="F12" i="48"/>
  <c r="B49" i="48" s="1"/>
  <c r="G12" i="48"/>
  <c r="A15" i="48"/>
  <c r="A16" i="48" s="1"/>
  <c r="A17" i="48" s="1"/>
  <c r="A18" i="48" s="1"/>
  <c r="A19" i="48" s="1"/>
  <c r="A20" i="48" s="1"/>
  <c r="A21" i="48" s="1"/>
  <c r="A22" i="48" s="1"/>
  <c r="A23" i="48" s="1"/>
  <c r="A24" i="48" s="1"/>
  <c r="A25" i="48" s="1"/>
  <c r="A26" i="48" s="1"/>
  <c r="A27" i="48" s="1"/>
  <c r="A28" i="48" s="1"/>
  <c r="A29" i="48" s="1"/>
  <c r="A30" i="48" s="1"/>
  <c r="A31" i="48" s="1"/>
  <c r="A32" i="48" s="1"/>
  <c r="A33" i="48" s="1"/>
  <c r="A34" i="48" s="1"/>
  <c r="A35" i="48" s="1"/>
  <c r="A36" i="48" s="1"/>
  <c r="A37" i="48" s="1"/>
  <c r="A1" i="58"/>
  <c r="A2" i="58"/>
  <c r="A3" i="58"/>
  <c r="A1" i="46"/>
  <c r="A2" i="46"/>
  <c r="A3" i="46"/>
  <c r="A1" i="45"/>
  <c r="A2" i="45"/>
  <c r="A3" i="45"/>
  <c r="C12" i="45"/>
  <c r="B33" i="45" s="1"/>
  <c r="D12" i="45"/>
  <c r="B34" i="45" s="1"/>
  <c r="E12" i="45"/>
  <c r="A1" i="44"/>
  <c r="A2" i="44"/>
  <c r="A3" i="44"/>
  <c r="A12" i="44"/>
  <c r="C12" i="44"/>
  <c r="B30" i="44" s="1"/>
  <c r="D12" i="44"/>
  <c r="B31" i="44" s="1"/>
  <c r="E12" i="44"/>
  <c r="A1" i="43"/>
  <c r="A2" i="43"/>
  <c r="A3" i="43"/>
  <c r="A12" i="43"/>
  <c r="C12" i="43"/>
  <c r="B30" i="43" s="1"/>
  <c r="D12" i="43"/>
  <c r="E12" i="43"/>
  <c r="A1" i="42"/>
  <c r="A2" i="42"/>
  <c r="A3" i="42"/>
  <c r="A12" i="42"/>
  <c r="C12" i="42"/>
  <c r="B30" i="42" s="1"/>
  <c r="D12" i="42"/>
  <c r="B31" i="42" s="1"/>
  <c r="E12" i="42"/>
  <c r="A1" i="41"/>
  <c r="A2" i="41"/>
  <c r="A3" i="41"/>
  <c r="A12" i="41"/>
  <c r="C12" i="41"/>
  <c r="D12" i="41"/>
  <c r="B31" i="41" s="1"/>
  <c r="E12" i="41"/>
  <c r="A1" i="40"/>
  <c r="A2" i="40"/>
  <c r="A3" i="40"/>
  <c r="A4" i="40"/>
  <c r="A12" i="40"/>
  <c r="E12" i="40" s="1"/>
  <c r="C12" i="40"/>
  <c r="A1" i="38"/>
  <c r="A2" i="38"/>
  <c r="A3" i="38"/>
  <c r="A12" i="38"/>
  <c r="C12" i="38"/>
  <c r="B35" i="38" s="1"/>
  <c r="D12" i="38"/>
  <c r="E12" i="38"/>
  <c r="A1" i="37"/>
  <c r="A2" i="37"/>
  <c r="A3" i="37"/>
  <c r="A12" i="37"/>
  <c r="C12" i="37"/>
  <c r="B38" i="37" s="1"/>
  <c r="D12" i="37"/>
  <c r="B39" i="37"/>
  <c r="E12" i="37"/>
  <c r="A1" i="36"/>
  <c r="A2" i="36"/>
  <c r="A3" i="36"/>
  <c r="A12" i="36"/>
  <c r="C12" i="36"/>
  <c r="B35" i="36" s="1"/>
  <c r="D12" i="36"/>
  <c r="B36" i="36" s="1"/>
  <c r="E12" i="36"/>
  <c r="A1" i="35"/>
  <c r="A2" i="35"/>
  <c r="A3" i="35"/>
  <c r="A12" i="35"/>
  <c r="C12" i="35"/>
  <c r="D12" i="35"/>
  <c r="B39" i="35" s="1"/>
  <c r="E12" i="35"/>
  <c r="B42" i="35" s="1"/>
  <c r="M33" i="35"/>
  <c r="A1" i="34"/>
  <c r="A2" i="34"/>
  <c r="A3" i="34"/>
  <c r="A12" i="34"/>
  <c r="C12" i="34"/>
  <c r="D12" i="34"/>
  <c r="E12" i="34"/>
  <c r="F12" i="34"/>
  <c r="G12" i="34"/>
  <c r="A15" i="34"/>
  <c r="A16" i="34" s="1"/>
  <c r="A17" i="34" s="1"/>
  <c r="A18" i="34" s="1"/>
  <c r="A19" i="34" s="1"/>
  <c r="A20" i="34" s="1"/>
  <c r="A21" i="34" s="1"/>
  <c r="A22" i="34" s="1"/>
  <c r="A23" i="34" s="1"/>
  <c r="A24" i="34" s="1"/>
  <c r="A25" i="34" s="1"/>
  <c r="A26" i="34" s="1"/>
  <c r="A27" i="34" s="1"/>
  <c r="A28" i="34" s="1"/>
  <c r="A29" i="34" s="1"/>
  <c r="A30" i="34" s="1"/>
  <c r="A31" i="34" s="1"/>
  <c r="A32" i="34" s="1"/>
  <c r="A33" i="34" s="1"/>
  <c r="A34" i="34" s="1"/>
  <c r="A35" i="34" s="1"/>
  <c r="A36" i="34" s="1"/>
  <c r="A37" i="34" s="1"/>
  <c r="A38" i="34" s="1"/>
  <c r="A39" i="34" s="1"/>
  <c r="A40" i="34" s="1"/>
  <c r="A41" i="34" s="1"/>
  <c r="A42" i="34" s="1"/>
  <c r="A43" i="34" s="1"/>
  <c r="A44" i="34" s="1"/>
  <c r="A45" i="34" s="1"/>
  <c r="A46" i="34" s="1"/>
  <c r="A47" i="34" s="1"/>
  <c r="A48" i="34" s="1"/>
  <c r="A49" i="34" s="1"/>
  <c r="A50" i="34" s="1"/>
  <c r="A51" i="34" s="1"/>
  <c r="A1" i="33"/>
  <c r="A2" i="33"/>
  <c r="A3" i="33"/>
  <c r="A12" i="33"/>
  <c r="C12" i="33"/>
  <c r="D12" i="33"/>
  <c r="E12" i="33"/>
  <c r="A62" i="33" s="1"/>
  <c r="F12" i="33"/>
  <c r="G12" i="33"/>
  <c r="A15" i="33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1" i="32"/>
  <c r="A2" i="32"/>
  <c r="A3" i="32"/>
  <c r="C12" i="32"/>
  <c r="D12" i="32"/>
  <c r="E12" i="32"/>
  <c r="F12" i="32"/>
  <c r="G12" i="32"/>
  <c r="A15" i="32"/>
  <c r="A16" i="32" s="1"/>
  <c r="A17" i="32" s="1"/>
  <c r="A18" i="32" s="1"/>
  <c r="A19" i="32" s="1"/>
  <c r="A20" i="32" s="1"/>
  <c r="A21" i="32" s="1"/>
  <c r="A22" i="32" s="1"/>
  <c r="A23" i="32" s="1"/>
  <c r="A24" i="32" s="1"/>
  <c r="A25" i="32" s="1"/>
  <c r="A26" i="32" s="1"/>
  <c r="A27" i="32" s="1"/>
  <c r="A28" i="32" s="1"/>
  <c r="A29" i="32" s="1"/>
  <c r="A30" i="32" s="1"/>
  <c r="A31" i="32" s="1"/>
  <c r="A32" i="32" s="1"/>
  <c r="A33" i="32" s="1"/>
  <c r="A34" i="32" s="1"/>
  <c r="A35" i="32" s="1"/>
  <c r="A36" i="32" s="1"/>
  <c r="A37" i="32" s="1"/>
  <c r="A38" i="32" s="1"/>
  <c r="A39" i="32" s="1"/>
  <c r="A40" i="32" s="1"/>
  <c r="A41" i="32" s="1"/>
  <c r="A42" i="32" s="1"/>
  <c r="A43" i="32" s="1"/>
  <c r="A44" i="32" s="1"/>
  <c r="A45" i="32" s="1"/>
  <c r="A46" i="32" s="1"/>
  <c r="A47" i="32" s="1"/>
  <c r="A48" i="32" s="1"/>
  <c r="A49" i="32" s="1"/>
  <c r="A50" i="32" s="1"/>
  <c r="A51" i="32" s="1"/>
  <c r="A1" i="31"/>
  <c r="A2" i="31"/>
  <c r="A3" i="31"/>
  <c r="A12" i="31"/>
  <c r="C12" i="31"/>
  <c r="D12" i="31"/>
  <c r="A59" i="31" s="1"/>
  <c r="E12" i="31"/>
  <c r="F12" i="31"/>
  <c r="G12" i="31"/>
  <c r="A15" i="31"/>
  <c r="A16" i="31" s="1"/>
  <c r="A17" i="31" s="1"/>
  <c r="A18" i="31" s="1"/>
  <c r="A19" i="31" s="1"/>
  <c r="A20" i="31" s="1"/>
  <c r="A21" i="31" s="1"/>
  <c r="A22" i="31" s="1"/>
  <c r="A23" i="31" s="1"/>
  <c r="A24" i="31" s="1"/>
  <c r="A25" i="31" s="1"/>
  <c r="A26" i="31" s="1"/>
  <c r="A27" i="31" s="1"/>
  <c r="A28" i="31" s="1"/>
  <c r="A29" i="31" s="1"/>
  <c r="A30" i="31" s="1"/>
  <c r="A31" i="31" s="1"/>
  <c r="A32" i="31" s="1"/>
  <c r="A33" i="31" s="1"/>
  <c r="A34" i="31" s="1"/>
  <c r="A35" i="31" s="1"/>
  <c r="A36" i="31" s="1"/>
  <c r="A37" i="31" s="1"/>
  <c r="A38" i="31" s="1"/>
  <c r="A39" i="31" s="1"/>
  <c r="A40" i="31" s="1"/>
  <c r="A41" i="31" s="1"/>
  <c r="A42" i="31" s="1"/>
  <c r="A43" i="31" s="1"/>
  <c r="A44" i="31" s="1"/>
  <c r="A45" i="31" s="1"/>
  <c r="A46" i="31" s="1"/>
  <c r="A47" i="31" s="1"/>
  <c r="A48" i="31" s="1"/>
  <c r="A49" i="31" s="1"/>
  <c r="A50" i="31" s="1"/>
  <c r="A51" i="31" s="1"/>
  <c r="A1" i="30"/>
  <c r="A2" i="30"/>
  <c r="A3" i="30"/>
  <c r="A12" i="30"/>
  <c r="C12" i="30"/>
  <c r="B64" i="30" s="1"/>
  <c r="D12" i="30"/>
  <c r="B65" i="30" s="1"/>
  <c r="E12" i="30"/>
  <c r="B66" i="30" s="1"/>
  <c r="F12" i="30"/>
  <c r="B67" i="30" s="1"/>
  <c r="A15" i="30"/>
  <c r="C55" i="30"/>
  <c r="B70" i="30"/>
  <c r="B71" i="30"/>
  <c r="A1" i="29"/>
  <c r="A2" i="29"/>
  <c r="A3" i="29"/>
  <c r="A5" i="29"/>
  <c r="D38" i="62" s="1"/>
  <c r="A11" i="29"/>
  <c r="C11" i="29"/>
  <c r="E11" i="29"/>
  <c r="F11" i="29"/>
  <c r="G11" i="29"/>
  <c r="H11" i="29"/>
  <c r="A1" i="28"/>
  <c r="A2" i="28"/>
  <c r="A3" i="28"/>
  <c r="A5" i="28"/>
  <c r="D37" i="62" s="1"/>
  <c r="E12" i="28"/>
  <c r="B50" i="28"/>
  <c r="B53" i="28"/>
  <c r="A1" i="27"/>
  <c r="A2" i="27"/>
  <c r="A3" i="27"/>
  <c r="A12" i="27"/>
  <c r="C12" i="27"/>
  <c r="D12" i="27"/>
  <c r="E12" i="27"/>
  <c r="A1" i="26"/>
  <c r="A2" i="26"/>
  <c r="A3" i="26"/>
  <c r="A12" i="26"/>
  <c r="C12" i="26"/>
  <c r="D12" i="26"/>
  <c r="E12" i="26"/>
  <c r="F12" i="26"/>
  <c r="G12" i="26"/>
  <c r="H12" i="26"/>
  <c r="I12" i="26"/>
  <c r="A30" i="26"/>
  <c r="C30" i="26"/>
  <c r="D30" i="26"/>
  <c r="E30" i="26"/>
  <c r="F30" i="26"/>
  <c r="G30" i="26"/>
  <c r="H30" i="26"/>
  <c r="I30" i="26"/>
  <c r="I32" i="26"/>
  <c r="I33" i="26"/>
  <c r="I34" i="26"/>
  <c r="I35" i="26"/>
  <c r="I36" i="26"/>
  <c r="H37" i="26"/>
  <c r="I37" i="26"/>
  <c r="G38" i="26"/>
  <c r="H38" i="26"/>
  <c r="I38" i="26"/>
  <c r="F39" i="26"/>
  <c r="G39" i="26"/>
  <c r="H39" i="26"/>
  <c r="I39" i="26"/>
  <c r="E40" i="26"/>
  <c r="F40" i="26"/>
  <c r="G40" i="26"/>
  <c r="H40" i="26"/>
  <c r="I40" i="26"/>
  <c r="A1" i="25"/>
  <c r="A2" i="25"/>
  <c r="A3" i="25"/>
  <c r="A12" i="25"/>
  <c r="C12" i="25"/>
  <c r="B57" i="25" s="1"/>
  <c r="D12" i="25"/>
  <c r="B58" i="25" s="1"/>
  <c r="E12" i="25"/>
  <c r="F12" i="25"/>
  <c r="B60" i="25" s="1"/>
  <c r="G12" i="25"/>
  <c r="A15" i="25"/>
  <c r="A16" i="25" s="1"/>
  <c r="A17" i="25" s="1"/>
  <c r="A18" i="25" s="1"/>
  <c r="A19" i="25" s="1"/>
  <c r="A20" i="25" s="1"/>
  <c r="A21" i="25" s="1"/>
  <c r="A22" i="25" s="1"/>
  <c r="A23" i="25" s="1"/>
  <c r="A24" i="25" s="1"/>
  <c r="A25" i="25" s="1"/>
  <c r="A26" i="25" s="1"/>
  <c r="A27" i="25" s="1"/>
  <c r="A28" i="25" s="1"/>
  <c r="A29" i="25" s="1"/>
  <c r="A30" i="25" s="1"/>
  <c r="A31" i="25" s="1"/>
  <c r="A32" i="25" s="1"/>
  <c r="A33" i="25" s="1"/>
  <c r="A34" i="25" s="1"/>
  <c r="A35" i="25" s="1"/>
  <c r="A36" i="25" s="1"/>
  <c r="A37" i="25" s="1"/>
  <c r="A38" i="25" s="1"/>
  <c r="A39" i="25" s="1"/>
  <c r="A40" i="25" s="1"/>
  <c r="A41" i="25" s="1"/>
  <c r="A42" i="25" s="1"/>
  <c r="A43" i="25" s="1"/>
  <c r="A44" i="25" s="1"/>
  <c r="A45" i="25" s="1"/>
  <c r="A46" i="25" s="1"/>
  <c r="A47" i="25" s="1"/>
  <c r="A48" i="25" s="1"/>
  <c r="A49" i="25" s="1"/>
  <c r="A50" i="25" s="1"/>
  <c r="A51" i="25" s="1"/>
  <c r="A52" i="25" s="1"/>
  <c r="A53" i="25" s="1"/>
  <c r="A1" i="24"/>
  <c r="A2" i="24"/>
  <c r="A3" i="24"/>
  <c r="A12" i="24"/>
  <c r="C12" i="24"/>
  <c r="D12" i="24"/>
  <c r="E12" i="24"/>
  <c r="F12" i="24"/>
  <c r="G12" i="24"/>
  <c r="H12" i="24"/>
  <c r="I12" i="24"/>
  <c r="A29" i="24"/>
  <c r="C29" i="24"/>
  <c r="D29" i="24"/>
  <c r="E29" i="24"/>
  <c r="F29" i="24"/>
  <c r="G29" i="24"/>
  <c r="H29" i="24"/>
  <c r="I29" i="24"/>
  <c r="I31" i="24"/>
  <c r="I32" i="24"/>
  <c r="I33" i="24"/>
  <c r="I34" i="24"/>
  <c r="H35" i="24"/>
  <c r="I35" i="24"/>
  <c r="G36" i="24"/>
  <c r="H36" i="24"/>
  <c r="I36" i="24"/>
  <c r="F37" i="24"/>
  <c r="G37" i="24"/>
  <c r="H37" i="24"/>
  <c r="I37" i="24"/>
  <c r="E38" i="24"/>
  <c r="F38" i="24"/>
  <c r="G38" i="24"/>
  <c r="H38" i="24"/>
  <c r="I38" i="24"/>
  <c r="D39" i="24"/>
  <c r="E39" i="24"/>
  <c r="F39" i="24"/>
  <c r="G39" i="24"/>
  <c r="H39" i="24"/>
  <c r="I39" i="24"/>
  <c r="A1" i="23"/>
  <c r="A2" i="23"/>
  <c r="A3" i="23"/>
  <c r="M11" i="23"/>
  <c r="A12" i="23"/>
  <c r="C12" i="23"/>
  <c r="B58" i="23" s="1"/>
  <c r="D12" i="23"/>
  <c r="B59" i="23" s="1"/>
  <c r="E12" i="23"/>
  <c r="A1" i="22"/>
  <c r="A2" i="22"/>
  <c r="A3" i="22"/>
  <c r="A12" i="22"/>
  <c r="C12" i="22"/>
  <c r="B67" i="22" s="1"/>
  <c r="D12" i="22"/>
  <c r="B68" i="22" s="1"/>
  <c r="E12" i="22"/>
  <c r="B69" i="22" s="1"/>
  <c r="F12" i="22"/>
  <c r="B70" i="22" s="1"/>
  <c r="A15" i="22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1" i="21"/>
  <c r="A2" i="21"/>
  <c r="A3" i="21"/>
  <c r="A12" i="21"/>
  <c r="C12" i="21"/>
  <c r="B63" i="21" s="1"/>
  <c r="D12" i="21"/>
  <c r="E12" i="21"/>
  <c r="F12" i="21"/>
  <c r="G12" i="21"/>
  <c r="H12" i="21"/>
  <c r="I12" i="21"/>
  <c r="J12" i="21"/>
  <c r="K12" i="21"/>
  <c r="A55" i="21"/>
  <c r="A1" i="20"/>
  <c r="A2" i="20"/>
  <c r="A3" i="20"/>
  <c r="A53" i="20"/>
  <c r="N53" i="20" s="1"/>
  <c r="A12" i="20"/>
  <c r="C12" i="20"/>
  <c r="B61" i="20" s="1"/>
  <c r="D12" i="20"/>
  <c r="E12" i="20"/>
  <c r="F12" i="20"/>
  <c r="G12" i="20"/>
  <c r="H12" i="20"/>
  <c r="I12" i="20"/>
  <c r="J12" i="20"/>
  <c r="K12" i="20"/>
  <c r="B62" i="20" s="1"/>
  <c r="A1" i="19"/>
  <c r="A2" i="19"/>
  <c r="A3" i="19"/>
  <c r="A12" i="19"/>
  <c r="C12" i="19"/>
  <c r="B61" i="19"/>
  <c r="D12" i="19"/>
  <c r="B62" i="19" s="1"/>
  <c r="E12" i="19"/>
  <c r="F12" i="19"/>
  <c r="G12" i="19"/>
  <c r="H12" i="19"/>
  <c r="I12" i="19"/>
  <c r="J12" i="19"/>
  <c r="K12" i="19"/>
  <c r="A53" i="19"/>
  <c r="N53" i="19" s="1"/>
  <c r="A1" i="18"/>
  <c r="A2" i="18"/>
  <c r="A3" i="18"/>
  <c r="A11" i="18"/>
  <c r="A12" i="18"/>
  <c r="C12" i="18"/>
  <c r="B34" i="18"/>
  <c r="D12" i="18"/>
  <c r="B35" i="18" s="1"/>
  <c r="E12" i="18"/>
  <c r="B36" i="18" s="1"/>
  <c r="F12" i="18"/>
  <c r="A23" i="18"/>
  <c r="A22" i="18" s="1"/>
  <c r="A1" i="17"/>
  <c r="A2" i="17"/>
  <c r="A3" i="17"/>
  <c r="A12" i="17"/>
  <c r="C12" i="17"/>
  <c r="D12" i="17"/>
  <c r="E12" i="17"/>
  <c r="C63" i="17" s="1"/>
  <c r="F12" i="17"/>
  <c r="C64" i="17" s="1"/>
  <c r="G12" i="17"/>
  <c r="I12" i="17"/>
  <c r="J12" i="17"/>
  <c r="K12" i="17"/>
  <c r="L12" i="17"/>
  <c r="G62" i="17" s="1"/>
  <c r="G63" i="17"/>
  <c r="G64" i="17"/>
  <c r="G65" i="17"/>
  <c r="A1" i="16"/>
  <c r="A2" i="16"/>
  <c r="A3" i="16"/>
  <c r="A12" i="16"/>
  <c r="C12" i="16"/>
  <c r="D12" i="16"/>
  <c r="E12" i="16"/>
  <c r="F12" i="16"/>
  <c r="G12" i="16"/>
  <c r="H12" i="16"/>
  <c r="I12" i="16"/>
  <c r="J12" i="16"/>
  <c r="K12" i="16"/>
  <c r="A29" i="16"/>
  <c r="C29" i="16"/>
  <c r="D29" i="16"/>
  <c r="E29" i="16"/>
  <c r="F29" i="16"/>
  <c r="G29" i="16"/>
  <c r="H29" i="16"/>
  <c r="I29" i="16"/>
  <c r="J29" i="16"/>
  <c r="K29" i="16"/>
  <c r="K31" i="16"/>
  <c r="K32" i="16"/>
  <c r="J33" i="16"/>
  <c r="K33" i="16"/>
  <c r="I34" i="16"/>
  <c r="J34" i="16"/>
  <c r="K34" i="16"/>
  <c r="H35" i="16"/>
  <c r="I35" i="16"/>
  <c r="J35" i="16"/>
  <c r="K35" i="16"/>
  <c r="G36" i="16"/>
  <c r="H36" i="16"/>
  <c r="I36" i="16"/>
  <c r="J36" i="16"/>
  <c r="K36" i="16"/>
  <c r="F37" i="16"/>
  <c r="G37" i="16"/>
  <c r="H37" i="16"/>
  <c r="I37" i="16"/>
  <c r="J37" i="16"/>
  <c r="K37" i="16"/>
  <c r="E38" i="16"/>
  <c r="F38" i="16"/>
  <c r="G38" i="16"/>
  <c r="H38" i="16"/>
  <c r="I38" i="16"/>
  <c r="J38" i="16"/>
  <c r="K38" i="16"/>
  <c r="D39" i="16"/>
  <c r="E39" i="16"/>
  <c r="F39" i="16"/>
  <c r="G39" i="16"/>
  <c r="H39" i="16"/>
  <c r="I39" i="16"/>
  <c r="J39" i="16"/>
  <c r="K39" i="16"/>
  <c r="A1" i="15"/>
  <c r="A2" i="15"/>
  <c r="A3" i="15"/>
  <c r="A39" i="15"/>
  <c r="A38" i="15" s="1"/>
  <c r="A37" i="15" s="1"/>
  <c r="A36" i="15" s="1"/>
  <c r="A35" i="15" s="1"/>
  <c r="A34" i="15" s="1"/>
  <c r="A33" i="15" s="1"/>
  <c r="A32" i="15" s="1"/>
  <c r="A31" i="15" s="1"/>
  <c r="A30" i="15" s="1"/>
  <c r="B44" i="15"/>
  <c r="B45" i="15"/>
  <c r="B46" i="15"/>
  <c r="B47" i="15"/>
  <c r="B48" i="15"/>
  <c r="B49" i="15"/>
  <c r="B50" i="15"/>
  <c r="B52" i="15"/>
  <c r="B53" i="15"/>
  <c r="B54" i="15"/>
  <c r="B55" i="15"/>
  <c r="A1" i="14"/>
  <c r="A2" i="14"/>
  <c r="A3" i="14"/>
  <c r="A12" i="14"/>
  <c r="A1" i="13"/>
  <c r="A2" i="13"/>
  <c r="A3" i="13"/>
  <c r="A12" i="13"/>
  <c r="A1" i="12"/>
  <c r="A2" i="12"/>
  <c r="A3" i="12"/>
  <c r="A12" i="12"/>
  <c r="A1" i="11"/>
  <c r="A2" i="11"/>
  <c r="A3" i="11"/>
  <c r="A12" i="11"/>
  <c r="A1" i="10"/>
  <c r="A2" i="10"/>
  <c r="A3" i="10"/>
  <c r="A12" i="10"/>
  <c r="C12" i="10"/>
  <c r="D12" i="10"/>
  <c r="B31" i="10" s="1"/>
  <c r="E12" i="10"/>
  <c r="A1" i="9"/>
  <c r="A2" i="9"/>
  <c r="A3" i="9"/>
  <c r="A12" i="9"/>
  <c r="C12" i="9"/>
  <c r="D12" i="9"/>
  <c r="B31" i="9" s="1"/>
  <c r="E12" i="9"/>
  <c r="B32" i="9"/>
  <c r="A1" i="8"/>
  <c r="A2" i="8"/>
  <c r="A3" i="8"/>
  <c r="A12" i="8"/>
  <c r="C12" i="8"/>
  <c r="D12" i="8"/>
  <c r="B31" i="8" s="1"/>
  <c r="E12" i="8"/>
  <c r="A1" i="7"/>
  <c r="A2" i="7"/>
  <c r="A3" i="7"/>
  <c r="A12" i="7"/>
  <c r="C12" i="7"/>
  <c r="D12" i="7"/>
  <c r="B31" i="7" s="1"/>
  <c r="E12" i="7"/>
  <c r="A1" i="6"/>
  <c r="A2" i="6"/>
  <c r="A3" i="6"/>
  <c r="A12" i="6"/>
  <c r="C12" i="6"/>
  <c r="B33" i="6" s="1"/>
  <c r="D12" i="6"/>
  <c r="B31" i="6" s="1"/>
  <c r="E12" i="6"/>
  <c r="F12" i="6"/>
  <c r="G12" i="6"/>
  <c r="B34" i="6"/>
  <c r="H12" i="6"/>
  <c r="A1" i="5"/>
  <c r="A2" i="5"/>
  <c r="A3" i="5"/>
  <c r="A12" i="5"/>
  <c r="C12" i="5"/>
  <c r="B33" i="5" s="1"/>
  <c r="B30" i="5"/>
  <c r="D12" i="5"/>
  <c r="B31" i="5" s="1"/>
  <c r="E12" i="5"/>
  <c r="B32" i="5" s="1"/>
  <c r="F12" i="5"/>
  <c r="G12" i="5"/>
  <c r="B34" i="5" s="1"/>
  <c r="H12" i="5"/>
  <c r="A1" i="4"/>
  <c r="A2" i="4"/>
  <c r="A3" i="4"/>
  <c r="A12" i="4"/>
  <c r="C12" i="4"/>
  <c r="D12" i="4"/>
  <c r="B31" i="4" s="1"/>
  <c r="E12" i="4"/>
  <c r="F12" i="4"/>
  <c r="B35" i="4" s="1"/>
  <c r="G12" i="4"/>
  <c r="B34" i="4" s="1"/>
  <c r="H12" i="4"/>
  <c r="A1" i="3"/>
  <c r="A2" i="3"/>
  <c r="A3" i="3"/>
  <c r="A12" i="3"/>
  <c r="C12" i="3"/>
  <c r="B30" i="3"/>
  <c r="D12" i="3"/>
  <c r="B31" i="3" s="1"/>
  <c r="E12" i="3"/>
  <c r="F12" i="3"/>
  <c r="G12" i="3"/>
  <c r="B34" i="3" s="1"/>
  <c r="H12" i="3"/>
  <c r="B35" i="3"/>
  <c r="A1" i="2"/>
  <c r="A2" i="2"/>
  <c r="A3" i="2"/>
  <c r="C9" i="2"/>
  <c r="A12" i="2"/>
  <c r="C12" i="2"/>
  <c r="B23" i="2" s="1"/>
  <c r="D12" i="2"/>
  <c r="B24" i="2" s="1"/>
  <c r="E12" i="2"/>
  <c r="B25" i="2" s="1"/>
  <c r="A12" i="1"/>
  <c r="C12" i="1"/>
  <c r="B25" i="1" s="1"/>
  <c r="D12" i="1"/>
  <c r="B26" i="1" s="1"/>
  <c r="E12" i="1"/>
  <c r="B27" i="1" s="1"/>
  <c r="F12" i="1"/>
  <c r="G12" i="1"/>
  <c r="B29" i="1" s="1"/>
  <c r="H12" i="1"/>
  <c r="I12" i="1"/>
  <c r="B31" i="1" s="1"/>
  <c r="O51" i="17"/>
  <c r="B36" i="38"/>
  <c r="A51" i="17"/>
  <c r="G12" i="40"/>
  <c r="C54" i="40"/>
  <c r="B30" i="4"/>
  <c r="B35" i="5"/>
  <c r="B43" i="15"/>
  <c r="B31" i="11"/>
  <c r="O17" i="31"/>
  <c r="B32" i="7"/>
  <c r="B30" i="6"/>
  <c r="B31" i="43"/>
  <c r="B32" i="43"/>
  <c r="B30" i="41"/>
  <c r="B32" i="41"/>
  <c r="C62" i="17"/>
  <c r="B32" i="6"/>
  <c r="B38" i="18"/>
  <c r="B37" i="18"/>
  <c r="B31" i="14"/>
  <c r="C22" i="10"/>
  <c r="A53" i="40"/>
  <c r="A21" i="43"/>
  <c r="A20" i="43" s="1"/>
  <c r="A19" i="43" s="1"/>
  <c r="A18" i="43" s="1"/>
  <c r="A17" i="43" s="1"/>
  <c r="A16" i="43" s="1"/>
  <c r="A15" i="43" s="1"/>
  <c r="A14" i="43" s="1"/>
  <c r="D52" i="22"/>
  <c r="C18" i="10"/>
  <c r="E15" i="12"/>
  <c r="L10" i="58"/>
  <c r="E15" i="13"/>
  <c r="B30" i="1" l="1"/>
  <c r="D63" i="22"/>
  <c r="C63" i="22"/>
  <c r="B35" i="6"/>
  <c r="M33" i="37"/>
  <c r="M33" i="66"/>
  <c r="M33" i="65"/>
  <c r="O27" i="31"/>
  <c r="D59" i="22"/>
  <c r="D57" i="22"/>
  <c r="O16" i="31"/>
  <c r="O24" i="31"/>
  <c r="O28" i="31"/>
  <c r="O19" i="31"/>
  <c r="O18" i="31"/>
  <c r="O22" i="31"/>
  <c r="O20" i="31"/>
  <c r="O29" i="31"/>
  <c r="O25" i="31"/>
  <c r="A59" i="34"/>
  <c r="A60" i="32"/>
  <c r="A59" i="33"/>
  <c r="C11" i="23"/>
  <c r="B60" i="23"/>
  <c r="C53" i="40"/>
  <c r="B37" i="28" s="1"/>
  <c r="G53" i="40"/>
  <c r="E37" i="28" s="1"/>
  <c r="F37" i="28" s="1"/>
  <c r="N23" i="18"/>
  <c r="A63" i="32"/>
  <c r="A60" i="34"/>
  <c r="B50" i="48"/>
  <c r="B48" i="48"/>
  <c r="B32" i="8"/>
  <c r="B28" i="1"/>
  <c r="B64" i="21"/>
  <c r="A62" i="34"/>
  <c r="B35" i="45"/>
  <c r="B30" i="9"/>
  <c r="A23" i="44"/>
  <c r="A22" i="44" s="1"/>
  <c r="A21" i="44" s="1"/>
  <c r="A20" i="44" s="1"/>
  <c r="A19" i="44" s="1"/>
  <c r="A18" i="44" s="1"/>
  <c r="A17" i="44" s="1"/>
  <c r="A16" i="44" s="1"/>
  <c r="A15" i="44" s="1"/>
  <c r="A14" i="44" s="1"/>
  <c r="C11" i="25"/>
  <c r="A61" i="32"/>
  <c r="A60" i="33"/>
  <c r="A54" i="40"/>
  <c r="B38" i="28" s="1"/>
  <c r="B32" i="44"/>
  <c r="B39" i="18"/>
  <c r="A21" i="18"/>
  <c r="N22" i="18"/>
  <c r="A52" i="20"/>
  <c r="A52" i="19"/>
  <c r="N52" i="19" s="1"/>
  <c r="B32" i="3"/>
  <c r="B33" i="3"/>
  <c r="B32" i="10"/>
  <c r="B32" i="4"/>
  <c r="B33" i="4"/>
  <c r="A54" i="21"/>
  <c r="N55" i="21"/>
  <c r="B40" i="35"/>
  <c r="B38" i="35"/>
  <c r="B28" i="27"/>
  <c r="B27" i="27"/>
  <c r="B31" i="12"/>
  <c r="B42" i="37"/>
  <c r="B40" i="37"/>
  <c r="O14" i="31"/>
  <c r="O23" i="31"/>
  <c r="O15" i="31"/>
  <c r="O21" i="31"/>
  <c r="B32" i="42"/>
  <c r="B68" i="30"/>
  <c r="A60" i="31"/>
  <c r="M22" i="10"/>
  <c r="B30" i="10" s="1"/>
  <c r="L11" i="4"/>
  <c r="A11" i="4" s="1"/>
  <c r="C23" i="9"/>
  <c r="E22" i="22"/>
  <c r="L22" i="14"/>
  <c r="B30" i="14" s="1"/>
  <c r="A23" i="11"/>
  <c r="A22" i="11" s="1"/>
  <c r="A21" i="11" s="1"/>
  <c r="A20" i="11" s="1"/>
  <c r="A19" i="11" s="1"/>
  <c r="A18" i="11" s="1"/>
  <c r="A17" i="11" s="1"/>
  <c r="A16" i="11" s="1"/>
  <c r="A15" i="11" s="1"/>
  <c r="A14" i="11" s="1"/>
  <c r="D36" i="60"/>
  <c r="L22" i="10"/>
  <c r="A23" i="10" s="1"/>
  <c r="A22" i="10" s="1"/>
  <c r="A21" i="10" s="1"/>
  <c r="A20" i="10" s="1"/>
  <c r="A19" i="10" s="1"/>
  <c r="A18" i="10" s="1"/>
  <c r="L21" i="42"/>
  <c r="L8" i="3"/>
  <c r="A23" i="3" s="1"/>
  <c r="A22" i="3" s="1"/>
  <c r="A21" i="3" s="1"/>
  <c r="A20" i="3" s="1"/>
  <c r="A19" i="3" s="1"/>
  <c r="A18" i="3" s="1"/>
  <c r="A17" i="3" s="1"/>
  <c r="A16" i="3" s="1"/>
  <c r="A15" i="3" s="1"/>
  <c r="A14" i="3" s="1"/>
  <c r="L22" i="9"/>
  <c r="A23" i="9" s="1"/>
  <c r="A22" i="9" s="1"/>
  <c r="A21" i="9" s="1"/>
  <c r="A20" i="9" s="1"/>
  <c r="A19" i="9" s="1"/>
  <c r="E48" i="22"/>
  <c r="H48" i="24"/>
  <c r="G48" i="24" s="1"/>
  <c r="F48" i="24" s="1"/>
  <c r="E48" i="24" s="1"/>
  <c r="D48" i="24" s="1"/>
  <c r="C48" i="24" s="1"/>
  <c r="E38" i="22"/>
  <c r="D32" i="26"/>
  <c r="H32" i="26"/>
  <c r="E33" i="26"/>
  <c r="F34" i="26"/>
  <c r="C35" i="26"/>
  <c r="G35" i="26"/>
  <c r="D36" i="26"/>
  <c r="C41" i="26"/>
  <c r="E45" i="22"/>
  <c r="E49" i="22"/>
  <c r="C34" i="24"/>
  <c r="F36" i="24"/>
  <c r="E16" i="22"/>
  <c r="E32" i="26"/>
  <c r="F33" i="26"/>
  <c r="C34" i="26"/>
  <c r="H35" i="26"/>
  <c r="E36" i="26"/>
  <c r="C40" i="26"/>
  <c r="E25" i="22"/>
  <c r="E41" i="22"/>
  <c r="C61" i="17"/>
  <c r="O50" i="17"/>
  <c r="A50" i="17"/>
  <c r="N49" i="17"/>
  <c r="F33" i="16"/>
  <c r="D32" i="33"/>
  <c r="E20" i="14"/>
  <c r="A16" i="30"/>
  <c r="D36" i="16"/>
  <c r="E16" i="12"/>
  <c r="E16" i="11"/>
  <c r="F31" i="60"/>
  <c r="J31" i="60"/>
  <c r="H33" i="60"/>
  <c r="H34" i="60"/>
  <c r="E35" i="60"/>
  <c r="E17" i="18"/>
  <c r="E16" i="14"/>
  <c r="C16" i="8"/>
  <c r="D26" i="13"/>
  <c r="I31" i="16"/>
  <c r="G52" i="17"/>
  <c r="F50" i="17"/>
  <c r="G50" i="17" s="1"/>
  <c r="E23" i="18"/>
  <c r="E20" i="18"/>
  <c r="E44" i="22"/>
  <c r="C38" i="24"/>
  <c r="E34" i="26"/>
  <c r="C36" i="26"/>
  <c r="E39" i="26"/>
  <c r="E52" i="22"/>
  <c r="E19" i="18"/>
  <c r="A21" i="26"/>
  <c r="A39" i="26" s="1"/>
  <c r="C16" i="7"/>
  <c r="L56" i="33"/>
  <c r="B47" i="28"/>
  <c r="A61" i="31"/>
  <c r="E18" i="22"/>
  <c r="E26" i="22"/>
  <c r="E19" i="46"/>
  <c r="D23" i="46"/>
  <c r="D31" i="46"/>
  <c r="D32" i="46" s="1"/>
  <c r="E23" i="46"/>
  <c r="H32" i="16"/>
  <c r="C33" i="16"/>
  <c r="G33" i="16"/>
  <c r="D35" i="16"/>
  <c r="N11" i="16"/>
  <c r="D21" i="37"/>
  <c r="E21" i="37" s="1"/>
  <c r="D23" i="37"/>
  <c r="E23" i="37" s="1"/>
  <c r="D25" i="37"/>
  <c r="E25" i="37" s="1"/>
  <c r="D27" i="37"/>
  <c r="E27" i="37" s="1"/>
  <c r="H32" i="24"/>
  <c r="E16" i="48"/>
  <c r="G16" i="48" s="1"/>
  <c r="M16" i="48" s="1"/>
  <c r="E31" i="24"/>
  <c r="C33" i="24"/>
  <c r="G33" i="24"/>
  <c r="H34" i="24"/>
  <c r="E35" i="24"/>
  <c r="D15" i="18"/>
  <c r="D19" i="18"/>
  <c r="F31" i="24"/>
  <c r="D31" i="36"/>
  <c r="E21" i="14"/>
  <c r="E17" i="14"/>
  <c r="E15" i="48"/>
  <c r="G15" i="48" s="1"/>
  <c r="M15" i="48" s="1"/>
  <c r="E19" i="48"/>
  <c r="G19" i="48" s="1"/>
  <c r="M19" i="48" s="1"/>
  <c r="C32" i="60"/>
  <c r="G32" i="60"/>
  <c r="F33" i="60"/>
  <c r="F34" i="60"/>
  <c r="E36" i="60"/>
  <c r="D17" i="35"/>
  <c r="E17" i="35" s="1"/>
  <c r="D27" i="35"/>
  <c r="E27" i="35" s="1"/>
  <c r="C32" i="24"/>
  <c r="D33" i="24"/>
  <c r="E31" i="46"/>
  <c r="E32" i="46" s="1"/>
  <c r="C19" i="18"/>
  <c r="C32" i="16"/>
  <c r="G32" i="16"/>
  <c r="C35" i="16"/>
  <c r="H31" i="24"/>
  <c r="F33" i="24"/>
  <c r="F31" i="46"/>
  <c r="F32" i="46" s="1"/>
  <c r="C26" i="13"/>
  <c r="C11" i="38"/>
  <c r="E23" i="12"/>
  <c r="L11" i="6"/>
  <c r="A23" i="6" s="1"/>
  <c r="A22" i="6" s="1"/>
  <c r="A21" i="6" s="1"/>
  <c r="A20" i="6" s="1"/>
  <c r="A19" i="6" s="1"/>
  <c r="A18" i="6" s="1"/>
  <c r="A17" i="6" s="1"/>
  <c r="A16" i="6" s="1"/>
  <c r="A15" i="6" s="1"/>
  <c r="A14" i="6" s="1"/>
  <c r="D23" i="18"/>
  <c r="L22" i="7"/>
  <c r="A23" i="7" s="1"/>
  <c r="A22" i="7" s="1"/>
  <c r="A21" i="7" s="1"/>
  <c r="A20" i="7" s="1"/>
  <c r="A19" i="7" s="1"/>
  <c r="A18" i="7" s="1"/>
  <c r="E23" i="11"/>
  <c r="E19" i="13"/>
  <c r="D32" i="34"/>
  <c r="D33" i="32"/>
  <c r="C34" i="16"/>
  <c r="G34" i="16"/>
  <c r="F36" i="16"/>
  <c r="E37" i="16"/>
  <c r="D25" i="35"/>
  <c r="D17" i="37"/>
  <c r="E17" i="37" s="1"/>
  <c r="A21" i="41"/>
  <c r="A20" i="41" s="1"/>
  <c r="A19" i="41" s="1"/>
  <c r="A18" i="41" s="1"/>
  <c r="A17" i="41" s="1"/>
  <c r="A16" i="41" s="1"/>
  <c r="A15" i="41" s="1"/>
  <c r="A14" i="41" s="1"/>
  <c r="E22" i="14"/>
  <c r="C16" i="9"/>
  <c r="D21" i="18"/>
  <c r="D22" i="37"/>
  <c r="E22" i="37" s="1"/>
  <c r="D20" i="35"/>
  <c r="E20" i="35" s="1"/>
  <c r="C26" i="12"/>
  <c r="E18" i="13"/>
  <c r="D26" i="35"/>
  <c r="E26" i="35" s="1"/>
  <c r="D14" i="18"/>
  <c r="D22" i="18"/>
  <c r="D20" i="37"/>
  <c r="E20" i="37" s="1"/>
  <c r="M22" i="7"/>
  <c r="B30" i="7" s="1"/>
  <c r="L56" i="34"/>
  <c r="D22" i="35"/>
  <c r="E22" i="35" s="1"/>
  <c r="C16" i="18"/>
  <c r="E20" i="12"/>
  <c r="F34" i="16"/>
  <c r="G35" i="16"/>
  <c r="D37" i="16"/>
  <c r="D28" i="37"/>
  <c r="E28" i="37" s="1"/>
  <c r="D17" i="18"/>
  <c r="E22" i="11"/>
  <c r="M22" i="12"/>
  <c r="A4" i="12" s="1"/>
  <c r="B20" i="62" s="1"/>
  <c r="C18" i="18"/>
  <c r="D16" i="35"/>
  <c r="E16" i="35" s="1"/>
  <c r="C20" i="18"/>
  <c r="M22" i="14"/>
  <c r="A4" i="14" s="1"/>
  <c r="B22" i="62" s="1"/>
  <c r="L56" i="32"/>
  <c r="D18" i="35"/>
  <c r="E18" i="35" s="1"/>
  <c r="C14" i="18"/>
  <c r="D24" i="35"/>
  <c r="E24" i="35" s="1"/>
  <c r="C15" i="18"/>
  <c r="E16" i="13"/>
  <c r="D18" i="18"/>
  <c r="D20" i="18"/>
  <c r="C22" i="18"/>
  <c r="M22" i="13"/>
  <c r="A4" i="13" s="1"/>
  <c r="B21" i="62" s="1"/>
  <c r="A4" i="11"/>
  <c r="B19" i="62" s="1"/>
  <c r="C17" i="18"/>
  <c r="M22" i="8"/>
  <c r="B30" i="8" s="1"/>
  <c r="C23" i="18"/>
  <c r="C31" i="16"/>
  <c r="F32" i="16"/>
  <c r="E34" i="16"/>
  <c r="C37" i="16"/>
  <c r="C38" i="16"/>
  <c r="J31" i="16"/>
  <c r="D33" i="16"/>
  <c r="C39" i="16"/>
  <c r="D15" i="35"/>
  <c r="E15" i="35" s="1"/>
  <c r="D19" i="35"/>
  <c r="E19" i="35" s="1"/>
  <c r="C26" i="11"/>
  <c r="D32" i="60"/>
  <c r="H32" i="60"/>
  <c r="C33" i="60"/>
  <c r="C34" i="60"/>
  <c r="E46" i="22"/>
  <c r="E50" i="22"/>
  <c r="E22" i="13"/>
  <c r="E20" i="13"/>
  <c r="E22" i="12"/>
  <c r="A63" i="31"/>
  <c r="C19" i="7"/>
  <c r="E19" i="11"/>
  <c r="B49" i="60"/>
  <c r="A23" i="60"/>
  <c r="A22" i="60" s="1"/>
  <c r="C14" i="10"/>
  <c r="E14" i="14"/>
  <c r="E18" i="14"/>
  <c r="D26" i="14"/>
  <c r="E14" i="12"/>
  <c r="C14" i="8"/>
  <c r="E14" i="8" s="1"/>
  <c r="C14" i="4" s="1"/>
  <c r="D26" i="12"/>
  <c r="C15" i="7"/>
  <c r="C15" i="37"/>
  <c r="D15" i="37"/>
  <c r="D19" i="37"/>
  <c r="C19" i="37"/>
  <c r="E17" i="22"/>
  <c r="E21" i="22"/>
  <c r="D33" i="60"/>
  <c r="K52" i="30"/>
  <c r="L47" i="29"/>
  <c r="B78" i="29" s="1"/>
  <c r="K56" i="34"/>
  <c r="K56" i="33"/>
  <c r="A58" i="31"/>
  <c r="K56" i="32"/>
  <c r="D21" i="35"/>
  <c r="E21" i="35" s="1"/>
  <c r="D23" i="35"/>
  <c r="E23" i="35" s="1"/>
  <c r="D38" i="24"/>
  <c r="E30" i="22"/>
  <c r="N11" i="60"/>
  <c r="C11" i="60" s="1"/>
  <c r="D11" i="60" s="1"/>
  <c r="E11" i="60" s="1"/>
  <c r="C31" i="60"/>
  <c r="G31" i="60"/>
  <c r="J32" i="60"/>
  <c r="I33" i="60"/>
  <c r="E34" i="60"/>
  <c r="C38" i="60"/>
  <c r="D16" i="37"/>
  <c r="E16" i="37" s="1"/>
  <c r="D18" i="37"/>
  <c r="E18" i="37" s="1"/>
  <c r="E17" i="12"/>
  <c r="E21" i="11"/>
  <c r="G34" i="60"/>
  <c r="C36" i="16"/>
  <c r="E20" i="22"/>
  <c r="E28" i="22"/>
  <c r="E32" i="22"/>
  <c r="E36" i="22"/>
  <c r="E42" i="22"/>
  <c r="E17" i="48"/>
  <c r="G17" i="48" s="1"/>
  <c r="M17" i="48" s="1"/>
  <c r="E14" i="22"/>
  <c r="E17" i="11"/>
  <c r="E15" i="11"/>
  <c r="D11" i="24"/>
  <c r="C28" i="24" s="1"/>
  <c r="C29" i="26"/>
  <c r="F35" i="24"/>
  <c r="F23" i="46"/>
  <c r="F19" i="46"/>
  <c r="H33" i="24"/>
  <c r="E23" i="22"/>
  <c r="E39" i="22"/>
  <c r="H34" i="26"/>
  <c r="G35" i="24"/>
  <c r="E36" i="24"/>
  <c r="D37" i="24"/>
  <c r="A41" i="26"/>
  <c r="E27" i="22"/>
  <c r="E31" i="22"/>
  <c r="E47" i="22"/>
  <c r="D34" i="26"/>
  <c r="G37" i="26"/>
  <c r="F36" i="46"/>
  <c r="D29" i="26"/>
  <c r="E33" i="24"/>
  <c r="E29" i="22"/>
  <c r="E33" i="22"/>
  <c r="E37" i="22"/>
  <c r="E14" i="48"/>
  <c r="E18" i="48"/>
  <c r="G18" i="48" s="1"/>
  <c r="M18" i="48" s="1"/>
  <c r="E22" i="48"/>
  <c r="G22" i="48" s="1"/>
  <c r="M22" i="48" s="1"/>
  <c r="E29" i="26"/>
  <c r="G11" i="26"/>
  <c r="F29" i="26" s="1"/>
  <c r="D33" i="26"/>
  <c r="C33" i="26"/>
  <c r="G33" i="26"/>
  <c r="H33" i="26"/>
  <c r="F31" i="16"/>
  <c r="G31" i="16"/>
  <c r="H33" i="16"/>
  <c r="I33" i="16"/>
  <c r="D31" i="24"/>
  <c r="C31" i="24"/>
  <c r="E32" i="24"/>
  <c r="D32" i="24"/>
  <c r="G34" i="24"/>
  <c r="F34" i="24"/>
  <c r="D35" i="24"/>
  <c r="C35" i="24"/>
  <c r="A21" i="24"/>
  <c r="A39" i="24"/>
  <c r="E15" i="22"/>
  <c r="G35" i="60"/>
  <c r="F35" i="60"/>
  <c r="D37" i="60"/>
  <c r="C37" i="60"/>
  <c r="C11" i="35"/>
  <c r="M11" i="37"/>
  <c r="C11" i="37" s="1"/>
  <c r="E43" i="22"/>
  <c r="E22" i="18"/>
  <c r="E21" i="18"/>
  <c r="E14" i="18"/>
  <c r="E15" i="18"/>
  <c r="E16" i="18"/>
  <c r="G32" i="26"/>
  <c r="F32" i="26"/>
  <c r="F35" i="26"/>
  <c r="E35" i="26"/>
  <c r="G36" i="26"/>
  <c r="F36" i="26"/>
  <c r="C37" i="26"/>
  <c r="D37" i="26"/>
  <c r="E38" i="26"/>
  <c r="F38" i="26"/>
  <c r="B32" i="58"/>
  <c r="B10" i="58"/>
  <c r="C31" i="38"/>
  <c r="E31" i="38" s="1"/>
  <c r="E31" i="60"/>
  <c r="D31" i="60"/>
  <c r="H31" i="60"/>
  <c r="C35" i="60"/>
  <c r="D38" i="60"/>
  <c r="D28" i="35"/>
  <c r="E28" i="35" s="1"/>
  <c r="D35" i="60"/>
  <c r="D14" i="35"/>
  <c r="E14" i="35" s="1"/>
  <c r="C25" i="35"/>
  <c r="C31" i="35" s="1"/>
  <c r="C21" i="9"/>
  <c r="E21" i="13"/>
  <c r="B30" i="11"/>
  <c r="L22" i="12"/>
  <c r="L22" i="13"/>
  <c r="L22" i="8"/>
  <c r="A23" i="8" s="1"/>
  <c r="A22" i="8" s="1"/>
  <c r="A21" i="8" s="1"/>
  <c r="A20" i="8" s="1"/>
  <c r="I32" i="16"/>
  <c r="G31" i="24"/>
  <c r="E23" i="14"/>
  <c r="C23" i="10"/>
  <c r="C15" i="10"/>
  <c r="E15" i="14"/>
  <c r="E14" i="13"/>
  <c r="J32" i="16"/>
  <c r="E33" i="16"/>
  <c r="H34" i="16"/>
  <c r="E37" i="24"/>
  <c r="C32" i="26"/>
  <c r="D36" i="46"/>
  <c r="E18" i="12"/>
  <c r="I32" i="60"/>
  <c r="G33" i="60"/>
  <c r="D34" i="60"/>
  <c r="G48" i="46"/>
  <c r="G19" i="1" s="1"/>
  <c r="D31" i="16"/>
  <c r="H31" i="16"/>
  <c r="F32" i="24"/>
  <c r="D34" i="24"/>
  <c r="C36" i="24"/>
  <c r="C37" i="24"/>
  <c r="G34" i="26"/>
  <c r="H36" i="26"/>
  <c r="F37" i="26"/>
  <c r="H50" i="26"/>
  <c r="G50" i="26" s="1"/>
  <c r="F50" i="26" s="1"/>
  <c r="E50" i="26" s="1"/>
  <c r="D50" i="26" s="1"/>
  <c r="C50" i="26" s="1"/>
  <c r="E20" i="48"/>
  <c r="G20" i="48" s="1"/>
  <c r="M20" i="48" s="1"/>
  <c r="E18" i="11"/>
  <c r="E32" i="60"/>
  <c r="F32" i="60"/>
  <c r="A11" i="5"/>
  <c r="A23" i="5"/>
  <c r="A22" i="5" s="1"/>
  <c r="A21" i="5" s="1"/>
  <c r="A20" i="5" s="1"/>
  <c r="A19" i="5" s="1"/>
  <c r="A18" i="5" s="1"/>
  <c r="A17" i="5" s="1"/>
  <c r="A16" i="5" s="1"/>
  <c r="A15" i="5" s="1"/>
  <c r="A14" i="5" s="1"/>
  <c r="E34" i="24"/>
  <c r="A23" i="16"/>
  <c r="A22" i="16" s="1"/>
  <c r="A39" i="16" s="1"/>
  <c r="B49" i="16"/>
  <c r="D36" i="24"/>
  <c r="D39" i="26"/>
  <c r="C39" i="26"/>
  <c r="C17" i="9"/>
  <c r="E17" i="13"/>
  <c r="C31" i="36"/>
  <c r="E35" i="16"/>
  <c r="F49" i="17"/>
  <c r="E37" i="26"/>
  <c r="E31" i="16"/>
  <c r="D34" i="16"/>
  <c r="E36" i="16"/>
  <c r="D38" i="16"/>
  <c r="D14" i="37"/>
  <c r="E14" i="37" s="1"/>
  <c r="E34" i="22"/>
  <c r="D35" i="26"/>
  <c r="D38" i="26"/>
  <c r="E36" i="46"/>
  <c r="D26" i="11"/>
  <c r="G32" i="24"/>
  <c r="C39" i="24"/>
  <c r="E19" i="22"/>
  <c r="E19" i="14"/>
  <c r="E21" i="12"/>
  <c r="E20" i="11"/>
  <c r="F36" i="60"/>
  <c r="E32" i="16"/>
  <c r="F35" i="16"/>
  <c r="D24" i="37"/>
  <c r="E24" i="37" s="1"/>
  <c r="D26" i="37"/>
  <c r="E26" i="37" s="1"/>
  <c r="E35" i="22"/>
  <c r="E40" i="22"/>
  <c r="C38" i="26"/>
  <c r="D40" i="26"/>
  <c r="D19" i="46"/>
  <c r="E21" i="48"/>
  <c r="G21" i="48" s="1"/>
  <c r="M21" i="48" s="1"/>
  <c r="C36" i="60"/>
  <c r="E24" i="22"/>
  <c r="E19" i="12"/>
  <c r="E14" i="11"/>
  <c r="E63" i="22" l="1"/>
  <c r="D14" i="5" s="1"/>
  <c r="P25" i="31"/>
  <c r="P26" i="31"/>
  <c r="P17" i="31"/>
  <c r="D32" i="32" s="1"/>
  <c r="P22" i="31"/>
  <c r="P27" i="31"/>
  <c r="P16" i="31"/>
  <c r="P21" i="31"/>
  <c r="P20" i="31"/>
  <c r="P29" i="31"/>
  <c r="P15" i="31"/>
  <c r="P18" i="31"/>
  <c r="P23" i="31"/>
  <c r="P24" i="31"/>
  <c r="P14" i="31"/>
  <c r="P28" i="31"/>
  <c r="P19" i="31"/>
  <c r="E31" i="36"/>
  <c r="D62" i="22"/>
  <c r="E14" i="10"/>
  <c r="C26" i="10"/>
  <c r="C11" i="16"/>
  <c r="D11" i="16" s="1"/>
  <c r="A51" i="19"/>
  <c r="N51" i="19" s="1"/>
  <c r="A58" i="33"/>
  <c r="A11" i="3"/>
  <c r="B76" i="29"/>
  <c r="C42" i="60"/>
  <c r="C45" i="60" s="1"/>
  <c r="A18" i="29"/>
  <c r="A23" i="14"/>
  <c r="A22" i="14" s="1"/>
  <c r="A21" i="14" s="1"/>
  <c r="A20" i="14" s="1"/>
  <c r="A19" i="14" s="1"/>
  <c r="A18" i="14" s="1"/>
  <c r="A17" i="14" s="1"/>
  <c r="A16" i="14" s="1"/>
  <c r="A15" i="14" s="1"/>
  <c r="A14" i="14" s="1"/>
  <c r="A23" i="4"/>
  <c r="A22" i="4" s="1"/>
  <c r="A21" i="4" s="1"/>
  <c r="A20" i="4" s="1"/>
  <c r="A19" i="4" s="1"/>
  <c r="A18" i="4" s="1"/>
  <c r="A17" i="4" s="1"/>
  <c r="A16" i="4" s="1"/>
  <c r="A15" i="4" s="1"/>
  <c r="A14" i="4" s="1"/>
  <c r="F16" i="18"/>
  <c r="D32" i="15" s="1"/>
  <c r="A23" i="12"/>
  <c r="A22" i="12" s="1"/>
  <c r="A21" i="12" s="1"/>
  <c r="A20" i="12" s="1"/>
  <c r="A19" i="12" s="1"/>
  <c r="A18" i="12" s="1"/>
  <c r="A17" i="12" s="1"/>
  <c r="A16" i="12" s="1"/>
  <c r="A15" i="12" s="1"/>
  <c r="A14" i="12" s="1"/>
  <c r="B30" i="12"/>
  <c r="A23" i="42"/>
  <c r="A22" i="42" s="1"/>
  <c r="A21" i="42" s="1"/>
  <c r="A20" i="42" s="1"/>
  <c r="A19" i="42" s="1"/>
  <c r="A18" i="42" s="1"/>
  <c r="A17" i="42" s="1"/>
  <c r="A16" i="42" s="1"/>
  <c r="A15" i="42" s="1"/>
  <c r="A14" i="42" s="1"/>
  <c r="A20" i="26"/>
  <c r="A38" i="26" s="1"/>
  <c r="J43" i="16"/>
  <c r="C46" i="26"/>
  <c r="J43" i="60"/>
  <c r="D33" i="33"/>
  <c r="G14" i="48"/>
  <c r="E43" i="60"/>
  <c r="A58" i="34"/>
  <c r="A20" i="18"/>
  <c r="N21" i="18"/>
  <c r="F22" i="18"/>
  <c r="D38" i="15" s="1"/>
  <c r="F23" i="18"/>
  <c r="D39" i="15" s="1"/>
  <c r="F20" i="18"/>
  <c r="D36" i="15" s="1"/>
  <c r="A51" i="20"/>
  <c r="N52" i="20"/>
  <c r="C31" i="37"/>
  <c r="B74" i="29"/>
  <c r="F17" i="18"/>
  <c r="D33" i="15" s="1"/>
  <c r="J42" i="60"/>
  <c r="J45" i="60" s="1"/>
  <c r="J46" i="60" s="1"/>
  <c r="N45" i="30" s="1"/>
  <c r="G46" i="26"/>
  <c r="G44" i="24"/>
  <c r="H42" i="24"/>
  <c r="B46" i="28"/>
  <c r="E44" i="24"/>
  <c r="F15" i="18"/>
  <c r="D31" i="15" s="1"/>
  <c r="F44" i="24"/>
  <c r="H42" i="60"/>
  <c r="H45" i="60" s="1"/>
  <c r="I43" i="16"/>
  <c r="H44" i="24"/>
  <c r="C26" i="8"/>
  <c r="G42" i="60"/>
  <c r="G45" i="60" s="1"/>
  <c r="G54" i="40"/>
  <c r="E38" i="28" s="1"/>
  <c r="D30" i="34"/>
  <c r="D30" i="33"/>
  <c r="F42" i="24"/>
  <c r="G43" i="16"/>
  <c r="D30" i="32"/>
  <c r="F14" i="18"/>
  <c r="D30" i="15" s="1"/>
  <c r="C26" i="7"/>
  <c r="N54" i="21"/>
  <c r="A53" i="21"/>
  <c r="F19" i="18"/>
  <c r="D35" i="15" s="1"/>
  <c r="C42" i="16"/>
  <c r="C45" i="16" s="1"/>
  <c r="C43" i="16"/>
  <c r="H44" i="26"/>
  <c r="J42" i="16"/>
  <c r="J45" i="16" s="1"/>
  <c r="J46" i="16" s="1"/>
  <c r="H42" i="16"/>
  <c r="H45" i="16" s="1"/>
  <c r="A21" i="16"/>
  <c r="A20" i="16" s="1"/>
  <c r="E43" i="16"/>
  <c r="D43" i="16"/>
  <c r="F18" i="18"/>
  <c r="D34" i="15" s="1"/>
  <c r="F43" i="24"/>
  <c r="H45" i="24"/>
  <c r="G49" i="17"/>
  <c r="A49" i="17"/>
  <c r="O49" i="17"/>
  <c r="N48" i="17"/>
  <c r="C26" i="9"/>
  <c r="A17" i="30"/>
  <c r="F51" i="17"/>
  <c r="G51" i="17" s="1"/>
  <c r="F11" i="60"/>
  <c r="G11" i="60" s="1"/>
  <c r="D28" i="60"/>
  <c r="A59" i="32"/>
  <c r="A62" i="32"/>
  <c r="F45" i="24"/>
  <c r="G44" i="26"/>
  <c r="A11" i="6"/>
  <c r="F21" i="18"/>
  <c r="D37" i="15" s="1"/>
  <c r="G42" i="16"/>
  <c r="G45" i="16" s="1"/>
  <c r="D33" i="34"/>
  <c r="D42" i="60"/>
  <c r="D45" i="60" s="1"/>
  <c r="I42" i="60"/>
  <c r="I45" i="60" s="1"/>
  <c r="F42" i="16"/>
  <c r="F45" i="16" s="1"/>
  <c r="E26" i="13"/>
  <c r="I43" i="60"/>
  <c r="H43" i="24"/>
  <c r="E19" i="37"/>
  <c r="E46" i="26"/>
  <c r="H43" i="60"/>
  <c r="C28" i="60"/>
  <c r="E15" i="37"/>
  <c r="E26" i="29"/>
  <c r="G26" i="29" s="1"/>
  <c r="E25" i="29"/>
  <c r="G25" i="29" s="1"/>
  <c r="E27" i="29"/>
  <c r="E24" i="29"/>
  <c r="G24" i="29" s="1"/>
  <c r="E28" i="29"/>
  <c r="E29" i="29"/>
  <c r="G21" i="29"/>
  <c r="E23" i="29"/>
  <c r="G23" i="29" s="1"/>
  <c r="E19" i="29"/>
  <c r="G19" i="29" s="1"/>
  <c r="E20" i="29"/>
  <c r="G20" i="29" s="1"/>
  <c r="E22" i="29"/>
  <c r="G22" i="29" s="1"/>
  <c r="E18" i="29"/>
  <c r="D31" i="33"/>
  <c r="D31" i="34"/>
  <c r="D31" i="32"/>
  <c r="A39" i="60"/>
  <c r="A21" i="60"/>
  <c r="E26" i="11"/>
  <c r="G15" i="1"/>
  <c r="G22" i="1" s="1"/>
  <c r="G45" i="26"/>
  <c r="D43" i="60"/>
  <c r="G43" i="24"/>
  <c r="E42" i="60"/>
  <c r="E45" i="60" s="1"/>
  <c r="E47" i="26"/>
  <c r="E25" i="35"/>
  <c r="E31" i="35" s="1"/>
  <c r="G47" i="26"/>
  <c r="H43" i="16"/>
  <c r="H47" i="26"/>
  <c r="E43" i="24"/>
  <c r="E11" i="24"/>
  <c r="D28" i="24" s="1"/>
  <c r="C45" i="26"/>
  <c r="G45" i="24"/>
  <c r="F47" i="26"/>
  <c r="F45" i="26"/>
  <c r="F44" i="26"/>
  <c r="E26" i="12"/>
  <c r="E42" i="24"/>
  <c r="E26" i="14"/>
  <c r="C42" i="24"/>
  <c r="B30" i="13"/>
  <c r="A23" i="13"/>
  <c r="A22" i="13" s="1"/>
  <c r="A21" i="13" s="1"/>
  <c r="A20" i="13" s="1"/>
  <c r="A19" i="13" s="1"/>
  <c r="A18" i="13" s="1"/>
  <c r="A17" i="13" s="1"/>
  <c r="A16" i="13" s="1"/>
  <c r="A15" i="13" s="1"/>
  <c r="A14" i="13" s="1"/>
  <c r="H45" i="26"/>
  <c r="F46" i="26"/>
  <c r="E45" i="24"/>
  <c r="I42" i="16"/>
  <c r="I45" i="16" s="1"/>
  <c r="A38" i="24"/>
  <c r="A20" i="24"/>
  <c r="G43" i="60"/>
  <c r="H11" i="26"/>
  <c r="G29" i="26" s="1"/>
  <c r="H46" i="26"/>
  <c r="D45" i="26"/>
  <c r="D44" i="26"/>
  <c r="E42" i="16"/>
  <c r="E45" i="16" s="1"/>
  <c r="C47" i="26"/>
  <c r="F42" i="60"/>
  <c r="F45" i="60" s="1"/>
  <c r="F43" i="60"/>
  <c r="C44" i="24"/>
  <c r="C45" i="24"/>
  <c r="C44" i="26"/>
  <c r="C43" i="60"/>
  <c r="G42" i="24"/>
  <c r="A19" i="8"/>
  <c r="F43" i="16"/>
  <c r="D43" i="24"/>
  <c r="D45" i="24"/>
  <c r="D44" i="24"/>
  <c r="D42" i="24"/>
  <c r="C43" i="24"/>
  <c r="E45" i="26"/>
  <c r="D47" i="26"/>
  <c r="D46" i="26"/>
  <c r="D42" i="16"/>
  <c r="D45" i="16" s="1"/>
  <c r="A17" i="7"/>
  <c r="A16" i="7" s="1"/>
  <c r="A15" i="7" s="1"/>
  <c r="E44" i="26"/>
  <c r="A17" i="10"/>
  <c r="A18" i="9"/>
  <c r="H52" i="17" l="1"/>
  <c r="E34" i="35"/>
  <c r="D31" i="35"/>
  <c r="G18" i="29"/>
  <c r="E15" i="28" s="1"/>
  <c r="C15" i="28"/>
  <c r="M14" i="48"/>
  <c r="C14" i="6"/>
  <c r="E11" i="16"/>
  <c r="D28" i="16" s="1"/>
  <c r="C28" i="16"/>
  <c r="A50" i="19"/>
  <c r="A49" i="19" s="1"/>
  <c r="A19" i="29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I46" i="60"/>
  <c r="N46" i="30" s="1"/>
  <c r="A19" i="26"/>
  <c r="A18" i="26" s="1"/>
  <c r="A17" i="26" s="1"/>
  <c r="A19" i="18"/>
  <c r="N20" i="18"/>
  <c r="N51" i="20"/>
  <c r="A50" i="20"/>
  <c r="E28" i="60"/>
  <c r="E40" i="28"/>
  <c r="F38" i="28"/>
  <c r="E31" i="37"/>
  <c r="A52" i="21"/>
  <c r="N53" i="21"/>
  <c r="I46" i="16"/>
  <c r="H46" i="16" s="1"/>
  <c r="G46" i="16" s="1"/>
  <c r="F46" i="16" s="1"/>
  <c r="E46" i="16" s="1"/>
  <c r="A38" i="16"/>
  <c r="D16" i="7"/>
  <c r="E16" i="7" s="1"/>
  <c r="C16" i="3" s="1"/>
  <c r="D14" i="3"/>
  <c r="D17" i="3" s="1"/>
  <c r="D23" i="5"/>
  <c r="D20" i="5"/>
  <c r="D18" i="5"/>
  <c r="D22" i="5"/>
  <c r="D17" i="5"/>
  <c r="D15" i="5"/>
  <c r="D16" i="5"/>
  <c r="D19" i="5"/>
  <c r="D21" i="5"/>
  <c r="C22" i="15"/>
  <c r="O48" i="17"/>
  <c r="A48" i="17"/>
  <c r="N47" i="17"/>
  <c r="F28" i="60"/>
  <c r="A18" i="30"/>
  <c r="H11" i="60"/>
  <c r="G28" i="60" s="1"/>
  <c r="D14" i="4"/>
  <c r="D14" i="6"/>
  <c r="A61" i="34"/>
  <c r="A61" i="33"/>
  <c r="C17" i="27"/>
  <c r="G17" i="29"/>
  <c r="E14" i="28" s="1"/>
  <c r="D17" i="31"/>
  <c r="D16" i="31"/>
  <c r="D15" i="31"/>
  <c r="D14" i="34"/>
  <c r="E14" i="34" s="1"/>
  <c r="G14" i="31"/>
  <c r="D14" i="33"/>
  <c r="E14" i="33" s="1"/>
  <c r="D18" i="31"/>
  <c r="D14" i="32"/>
  <c r="E14" i="32" s="1"/>
  <c r="A38" i="60"/>
  <c r="A20" i="60"/>
  <c r="F11" i="24"/>
  <c r="E28" i="24" s="1"/>
  <c r="A37" i="24"/>
  <c r="A19" i="24"/>
  <c r="I11" i="26"/>
  <c r="I29" i="26" s="1"/>
  <c r="A18" i="8"/>
  <c r="A14" i="7"/>
  <c r="D15" i="7"/>
  <c r="E15" i="7" s="1"/>
  <c r="A16" i="10"/>
  <c r="A17" i="9"/>
  <c r="A19" i="16"/>
  <c r="A37" i="16"/>
  <c r="A31" i="29" l="1"/>
  <c r="A32" i="29" s="1"/>
  <c r="A33" i="29" s="1"/>
  <c r="A34" i="29" s="1"/>
  <c r="A35" i="29" s="1"/>
  <c r="A36" i="29" s="1"/>
  <c r="A37" i="29" s="1"/>
  <c r="A38" i="29" s="1"/>
  <c r="A39" i="29" s="1"/>
  <c r="A40" i="29" s="1"/>
  <c r="A41" i="29" s="1"/>
  <c r="A42" i="29" s="1"/>
  <c r="A43" i="29" s="1"/>
  <c r="A44" i="29" s="1"/>
  <c r="B75" i="29"/>
  <c r="B77" i="29"/>
  <c r="C16" i="28"/>
  <c r="E34" i="37"/>
  <c r="C18" i="27" s="1"/>
  <c r="C22" i="27" s="1"/>
  <c r="F11" i="16"/>
  <c r="G11" i="16" s="1"/>
  <c r="N50" i="19"/>
  <c r="H46" i="60"/>
  <c r="N47" i="30" s="1"/>
  <c r="F40" i="28"/>
  <c r="A37" i="26"/>
  <c r="A36" i="26"/>
  <c r="D20" i="3"/>
  <c r="A18" i="18"/>
  <c r="N19" i="18"/>
  <c r="A49" i="20"/>
  <c r="N50" i="20"/>
  <c r="D31" i="37"/>
  <c r="N52" i="21"/>
  <c r="A51" i="21"/>
  <c r="A48" i="19"/>
  <c r="N49" i="19"/>
  <c r="D46" i="16"/>
  <c r="C46" i="16" s="1"/>
  <c r="D23" i="3"/>
  <c r="D17" i="7"/>
  <c r="E17" i="7" s="1"/>
  <c r="C17" i="3" s="1"/>
  <c r="D18" i="3"/>
  <c r="D16" i="3"/>
  <c r="D19" i="3"/>
  <c r="D22" i="3"/>
  <c r="D21" i="3"/>
  <c r="D15" i="3"/>
  <c r="C39" i="15"/>
  <c r="A47" i="17"/>
  <c r="O47" i="17"/>
  <c r="N46" i="17"/>
  <c r="A19" i="30"/>
  <c r="I11" i="60"/>
  <c r="H28" i="60" s="1"/>
  <c r="D20" i="6"/>
  <c r="D22" i="6"/>
  <c r="D23" i="6"/>
  <c r="D19" i="6"/>
  <c r="D15" i="6"/>
  <c r="D16" i="6"/>
  <c r="D21" i="6"/>
  <c r="D17" i="6"/>
  <c r="D18" i="6"/>
  <c r="D21" i="4"/>
  <c r="D16" i="4"/>
  <c r="D19" i="4"/>
  <c r="D20" i="4"/>
  <c r="D15" i="4"/>
  <c r="D17" i="4"/>
  <c r="D23" i="4"/>
  <c r="D22" i="4"/>
  <c r="D18" i="4"/>
  <c r="D27" i="34"/>
  <c r="D27" i="32"/>
  <c r="D27" i="33"/>
  <c r="G14" i="33"/>
  <c r="E14" i="30" s="1"/>
  <c r="E19" i="31"/>
  <c r="D19" i="33"/>
  <c r="E19" i="33" s="1"/>
  <c r="G19" i="33" s="1"/>
  <c r="E19" i="30" s="1"/>
  <c r="D19" i="32"/>
  <c r="E19" i="32" s="1"/>
  <c r="G19" i="32" s="1"/>
  <c r="D19" i="30" s="1"/>
  <c r="D19" i="34"/>
  <c r="G19" i="34" s="1"/>
  <c r="F19" i="30" s="1"/>
  <c r="D26" i="33"/>
  <c r="D26" i="32"/>
  <c r="D26" i="34"/>
  <c r="D29" i="33"/>
  <c r="D29" i="34"/>
  <c r="D29" i="32"/>
  <c r="D23" i="32"/>
  <c r="D23" i="33"/>
  <c r="D23" i="34"/>
  <c r="E21" i="31"/>
  <c r="G21" i="31" s="1"/>
  <c r="C21" i="30" s="1"/>
  <c r="D21" i="33"/>
  <c r="E21" i="33" s="1"/>
  <c r="D21" i="32"/>
  <c r="E21" i="32" s="1"/>
  <c r="G21" i="32" s="1"/>
  <c r="D21" i="30" s="1"/>
  <c r="D21" i="34"/>
  <c r="E21" i="34" s="1"/>
  <c r="G21" i="34" s="1"/>
  <c r="F21" i="30" s="1"/>
  <c r="D24" i="33"/>
  <c r="D24" i="32"/>
  <c r="D24" i="34"/>
  <c r="G14" i="34"/>
  <c r="F14" i="30" s="1"/>
  <c r="D28" i="34"/>
  <c r="D28" i="32"/>
  <c r="D28" i="33"/>
  <c r="D25" i="33"/>
  <c r="D25" i="32"/>
  <c r="D25" i="34"/>
  <c r="D18" i="34"/>
  <c r="E18" i="34" s="1"/>
  <c r="G18" i="34" s="1"/>
  <c r="F18" i="30" s="1"/>
  <c r="E18" i="31"/>
  <c r="D18" i="32"/>
  <c r="E18" i="32" s="1"/>
  <c r="G18" i="32" s="1"/>
  <c r="D18" i="30" s="1"/>
  <c r="D18" i="33"/>
  <c r="E18" i="33" s="1"/>
  <c r="G18" i="33" s="1"/>
  <c r="E18" i="30" s="1"/>
  <c r="D22" i="33"/>
  <c r="D22" i="34"/>
  <c r="D22" i="32"/>
  <c r="E17" i="31"/>
  <c r="D17" i="34"/>
  <c r="E17" i="34" s="1"/>
  <c r="G17" i="34" s="1"/>
  <c r="F17" i="30" s="1"/>
  <c r="D17" i="32"/>
  <c r="E17" i="32" s="1"/>
  <c r="G17" i="32" s="1"/>
  <c r="D17" i="30" s="1"/>
  <c r="D17" i="33"/>
  <c r="E17" i="33" s="1"/>
  <c r="G17" i="33" s="1"/>
  <c r="E17" i="30" s="1"/>
  <c r="G14" i="32"/>
  <c r="D14" i="30" s="1"/>
  <c r="D20" i="32"/>
  <c r="E20" i="32" s="1"/>
  <c r="G20" i="32" s="1"/>
  <c r="D20" i="30" s="1"/>
  <c r="D20" i="34"/>
  <c r="E20" i="34" s="1"/>
  <c r="G20" i="34" s="1"/>
  <c r="F20" i="30" s="1"/>
  <c r="D20" i="33"/>
  <c r="E20" i="33" s="1"/>
  <c r="G20" i="33" s="1"/>
  <c r="E20" i="30" s="1"/>
  <c r="E20" i="31"/>
  <c r="C14" i="30"/>
  <c r="E30" i="29"/>
  <c r="E15" i="31"/>
  <c r="D15" i="34"/>
  <c r="E15" i="34" s="1"/>
  <c r="G15" i="34" s="1"/>
  <c r="F15" i="30" s="1"/>
  <c r="D15" i="32"/>
  <c r="E15" i="32" s="1"/>
  <c r="G15" i="32" s="1"/>
  <c r="D15" i="30" s="1"/>
  <c r="D15" i="33"/>
  <c r="E15" i="33" s="1"/>
  <c r="G15" i="33" s="1"/>
  <c r="E15" i="30" s="1"/>
  <c r="D16" i="34"/>
  <c r="E16" i="34" s="1"/>
  <c r="G16" i="34" s="1"/>
  <c r="F16" i="30" s="1"/>
  <c r="D16" i="33"/>
  <c r="E16" i="33" s="1"/>
  <c r="G16" i="33" s="1"/>
  <c r="E16" i="30" s="1"/>
  <c r="D16" i="32"/>
  <c r="E16" i="32" s="1"/>
  <c r="G16" i="32" s="1"/>
  <c r="D16" i="30" s="1"/>
  <c r="E16" i="31"/>
  <c r="A37" i="60"/>
  <c r="A19" i="60"/>
  <c r="G11" i="24"/>
  <c r="F28" i="24" s="1"/>
  <c r="H29" i="26"/>
  <c r="A18" i="24"/>
  <c r="A36" i="24"/>
  <c r="D18" i="8"/>
  <c r="E18" i="8" s="1"/>
  <c r="C18" i="4" s="1"/>
  <c r="A17" i="8"/>
  <c r="A16" i="26"/>
  <c r="A35" i="26"/>
  <c r="A16" i="9"/>
  <c r="C15" i="3"/>
  <c r="A36" i="16"/>
  <c r="A18" i="16"/>
  <c r="A15" i="10"/>
  <c r="D16" i="10" s="1"/>
  <c r="E16" i="10" s="1"/>
  <c r="C16" i="6" s="1"/>
  <c r="E28" i="16" l="1"/>
  <c r="F28" i="16"/>
  <c r="H11" i="16"/>
  <c r="C17" i="28"/>
  <c r="G46" i="60"/>
  <c r="N48" i="30" s="1"/>
  <c r="A17" i="18"/>
  <c r="N18" i="18"/>
  <c r="A48" i="20"/>
  <c r="N49" i="20"/>
  <c r="N51" i="21"/>
  <c r="A50" i="21"/>
  <c r="A47" i="19"/>
  <c r="N48" i="19"/>
  <c r="D18" i="10"/>
  <c r="E18" i="10" s="1"/>
  <c r="C18" i="6" s="1"/>
  <c r="D18" i="7"/>
  <c r="E18" i="7" s="1"/>
  <c r="D18" i="9"/>
  <c r="E18" i="9" s="1"/>
  <c r="C18" i="5" s="1"/>
  <c r="A46" i="17"/>
  <c r="O46" i="17"/>
  <c r="N45" i="17"/>
  <c r="A20" i="30"/>
  <c r="J11" i="60"/>
  <c r="I28" i="60" s="1"/>
  <c r="G15" i="31"/>
  <c r="C15" i="30" s="1"/>
  <c r="E31" i="29"/>
  <c r="G20" i="31"/>
  <c r="C20" i="30" s="1"/>
  <c r="E36" i="29"/>
  <c r="C19" i="28" s="1"/>
  <c r="G19" i="31"/>
  <c r="C19" i="30" s="1"/>
  <c r="E35" i="29"/>
  <c r="G16" i="31"/>
  <c r="C16" i="30" s="1"/>
  <c r="E32" i="29"/>
  <c r="G18" i="31"/>
  <c r="C18" i="30" s="1"/>
  <c r="E34" i="29"/>
  <c r="E37" i="29"/>
  <c r="G21" i="33"/>
  <c r="E21" i="30" s="1"/>
  <c r="E33" i="29"/>
  <c r="C18" i="28" s="1"/>
  <c r="G17" i="31"/>
  <c r="C17" i="30" s="1"/>
  <c r="A36" i="60"/>
  <c r="A18" i="60"/>
  <c r="H11" i="24"/>
  <c r="G28" i="24" s="1"/>
  <c r="A17" i="24"/>
  <c r="A35" i="24"/>
  <c r="A16" i="8"/>
  <c r="A34" i="26"/>
  <c r="A15" i="26"/>
  <c r="D15" i="10"/>
  <c r="E15" i="10" s="1"/>
  <c r="A14" i="10"/>
  <c r="D17" i="10"/>
  <c r="E17" i="10" s="1"/>
  <c r="C17" i="6" s="1"/>
  <c r="A17" i="16"/>
  <c r="A35" i="16"/>
  <c r="A15" i="9"/>
  <c r="D16" i="9" s="1"/>
  <c r="E16" i="9" s="1"/>
  <c r="C16" i="5" s="1"/>
  <c r="G28" i="16" l="1"/>
  <c r="I11" i="16"/>
  <c r="F46" i="60"/>
  <c r="N49" i="30" s="1"/>
  <c r="A16" i="18"/>
  <c r="N17" i="18"/>
  <c r="N48" i="20"/>
  <c r="A47" i="20"/>
  <c r="N50" i="21"/>
  <c r="A49" i="21"/>
  <c r="N47" i="19"/>
  <c r="A46" i="19"/>
  <c r="C18" i="3"/>
  <c r="D19" i="7"/>
  <c r="E19" i="7" s="1"/>
  <c r="C19" i="3" s="1"/>
  <c r="D19" i="10"/>
  <c r="E19" i="10" s="1"/>
  <c r="C19" i="6" s="1"/>
  <c r="D19" i="9"/>
  <c r="E19" i="9" s="1"/>
  <c r="C19" i="5" s="1"/>
  <c r="D19" i="8"/>
  <c r="E19" i="8" s="1"/>
  <c r="C19" i="4" s="1"/>
  <c r="O45" i="17"/>
  <c r="N44" i="17"/>
  <c r="A45" i="17"/>
  <c r="A21" i="30"/>
  <c r="K11" i="60"/>
  <c r="K28" i="60" s="1"/>
  <c r="A35" i="60"/>
  <c r="A17" i="60"/>
  <c r="I11" i="24"/>
  <c r="I28" i="24" s="1"/>
  <c r="A16" i="24"/>
  <c r="A34" i="24"/>
  <c r="A14" i="26"/>
  <c r="A32" i="26" s="1"/>
  <c r="A33" i="26"/>
  <c r="A15" i="8"/>
  <c r="D16" i="8" s="1"/>
  <c r="E16" i="8" s="1"/>
  <c r="C16" i="4" s="1"/>
  <c r="C15" i="6"/>
  <c r="A16" i="16"/>
  <c r="A34" i="16"/>
  <c r="D15" i="9"/>
  <c r="E15" i="9" s="1"/>
  <c r="A14" i="9"/>
  <c r="D17" i="9"/>
  <c r="E17" i="9" s="1"/>
  <c r="C17" i="5" s="1"/>
  <c r="H28" i="16" l="1"/>
  <c r="J11" i="16"/>
  <c r="E46" i="60"/>
  <c r="N50" i="30" s="1"/>
  <c r="A15" i="18"/>
  <c r="N16" i="18"/>
  <c r="A46" i="20"/>
  <c r="N47" i="20"/>
  <c r="N46" i="19"/>
  <c r="A45" i="19"/>
  <c r="A48" i="21"/>
  <c r="N49" i="21"/>
  <c r="D20" i="10"/>
  <c r="E20" i="10" s="1"/>
  <c r="D20" i="7"/>
  <c r="E20" i="7" s="1"/>
  <c r="C20" i="3" s="1"/>
  <c r="D20" i="9"/>
  <c r="E20" i="9" s="1"/>
  <c r="C20" i="5" s="1"/>
  <c r="D20" i="8"/>
  <c r="E20" i="8" s="1"/>
  <c r="C20" i="4" s="1"/>
  <c r="N43" i="17"/>
  <c r="O44" i="17"/>
  <c r="A44" i="17"/>
  <c r="A22" i="30"/>
  <c r="J28" i="60"/>
  <c r="H28" i="24"/>
  <c r="A16" i="60"/>
  <c r="A34" i="60"/>
  <c r="A15" i="24"/>
  <c r="A33" i="24"/>
  <c r="A14" i="8"/>
  <c r="D15" i="8"/>
  <c r="E15" i="8" s="1"/>
  <c r="D17" i="8"/>
  <c r="E17" i="8" s="1"/>
  <c r="C17" i="4" s="1"/>
  <c r="A33" i="16"/>
  <c r="A15" i="16"/>
  <c r="C15" i="5"/>
  <c r="I28" i="16" l="1"/>
  <c r="K11" i="16"/>
  <c r="K28" i="16" s="1"/>
  <c r="D46" i="60"/>
  <c r="N51" i="30" s="1"/>
  <c r="A14" i="18"/>
  <c r="N15" i="18"/>
  <c r="A45" i="20"/>
  <c r="N46" i="20"/>
  <c r="N45" i="19"/>
  <c r="A44" i="19"/>
  <c r="N48" i="21"/>
  <c r="A47" i="21"/>
  <c r="D21" i="7"/>
  <c r="E21" i="7" s="1"/>
  <c r="C21" i="3" s="1"/>
  <c r="D21" i="10"/>
  <c r="E21" i="10" s="1"/>
  <c r="C21" i="6" s="1"/>
  <c r="D21" i="9"/>
  <c r="E21" i="9" s="1"/>
  <c r="D21" i="8"/>
  <c r="E21" i="8" s="1"/>
  <c r="C21" i="4" s="1"/>
  <c r="C20" i="6"/>
  <c r="O43" i="17"/>
  <c r="A43" i="17"/>
  <c r="N42" i="17"/>
  <c r="A23" i="30"/>
  <c r="A33" i="60"/>
  <c r="A15" i="60"/>
  <c r="A14" i="24"/>
  <c r="A31" i="24" s="1"/>
  <c r="A32" i="24"/>
  <c r="C15" i="4"/>
  <c r="A14" i="16"/>
  <c r="A31" i="16" s="1"/>
  <c r="A32" i="16"/>
  <c r="J28" i="16" l="1"/>
  <c r="C46" i="60"/>
  <c r="N52" i="30" s="1"/>
  <c r="A44" i="20"/>
  <c r="N45" i="20"/>
  <c r="N44" i="19"/>
  <c r="A43" i="19"/>
  <c r="N47" i="21"/>
  <c r="A46" i="21"/>
  <c r="C21" i="5"/>
  <c r="D22" i="7"/>
  <c r="E22" i="7" s="1"/>
  <c r="D22" i="10"/>
  <c r="E22" i="10" s="1"/>
  <c r="C22" i="6" s="1"/>
  <c r="D22" i="9"/>
  <c r="E22" i="9" s="1"/>
  <c r="C22" i="5" s="1"/>
  <c r="D22" i="8"/>
  <c r="E22" i="8" s="1"/>
  <c r="O42" i="17"/>
  <c r="A42" i="17"/>
  <c r="N41" i="17"/>
  <c r="A24" i="30"/>
  <c r="A14" i="60"/>
  <c r="A31" i="60" s="1"/>
  <c r="A32" i="60"/>
  <c r="A43" i="20" l="1"/>
  <c r="N44" i="20"/>
  <c r="A45" i="21"/>
  <c r="N46" i="21"/>
  <c r="A42" i="19"/>
  <c r="N43" i="19"/>
  <c r="D23" i="7"/>
  <c r="E23" i="7" s="1"/>
  <c r="C23" i="3" s="1"/>
  <c r="D23" i="10"/>
  <c r="E23" i="10" s="1"/>
  <c r="E26" i="10" s="1"/>
  <c r="D23" i="9"/>
  <c r="E23" i="9" s="1"/>
  <c r="C23" i="5" s="1"/>
  <c r="D23" i="8"/>
  <c r="E23" i="8" s="1"/>
  <c r="C23" i="4" s="1"/>
  <c r="C22" i="3"/>
  <c r="C22" i="4"/>
  <c r="O41" i="17"/>
  <c r="A41" i="17"/>
  <c r="N40" i="17"/>
  <c r="A25" i="30"/>
  <c r="C26" i="4" l="1"/>
  <c r="C23" i="6"/>
  <c r="C26" i="6" s="1"/>
  <c r="C26" i="5"/>
  <c r="A42" i="20"/>
  <c r="N43" i="20"/>
  <c r="N42" i="19"/>
  <c r="K56" i="19" s="1"/>
  <c r="A41" i="19"/>
  <c r="N45" i="21"/>
  <c r="A44" i="21"/>
  <c r="E26" i="7"/>
  <c r="E26" i="9"/>
  <c r="E26" i="8"/>
  <c r="C26" i="3"/>
  <c r="N39" i="17"/>
  <c r="A40" i="17"/>
  <c r="O40" i="17"/>
  <c r="A26" i="30"/>
  <c r="N42" i="20" l="1"/>
  <c r="K56" i="20" s="1"/>
  <c r="A41" i="20"/>
  <c r="A40" i="19"/>
  <c r="N41" i="19"/>
  <c r="J43" i="19"/>
  <c r="K51" i="19"/>
  <c r="J44" i="19"/>
  <c r="K46" i="19"/>
  <c r="J46" i="19"/>
  <c r="J52" i="19"/>
  <c r="J48" i="19"/>
  <c r="K57" i="19"/>
  <c r="J45" i="19"/>
  <c r="K50" i="19"/>
  <c r="J57" i="19"/>
  <c r="K43" i="19"/>
  <c r="K53" i="19"/>
  <c r="J47" i="19"/>
  <c r="K52" i="19"/>
  <c r="K42" i="19"/>
  <c r="K45" i="19"/>
  <c r="K47" i="19"/>
  <c r="J53" i="19"/>
  <c r="K49" i="19"/>
  <c r="J50" i="19"/>
  <c r="J49" i="19"/>
  <c r="K44" i="19"/>
  <c r="J42" i="19"/>
  <c r="J51" i="19"/>
  <c r="K48" i="19"/>
  <c r="N44" i="21"/>
  <c r="K58" i="21" s="1"/>
  <c r="A43" i="21"/>
  <c r="A39" i="17"/>
  <c r="O39" i="17"/>
  <c r="N38" i="17"/>
  <c r="A27" i="30"/>
  <c r="J56" i="19" l="1"/>
  <c r="N41" i="20"/>
  <c r="A40" i="20"/>
  <c r="K47" i="20"/>
  <c r="K45" i="20"/>
  <c r="K49" i="20"/>
  <c r="J53" i="20"/>
  <c r="K51" i="20"/>
  <c r="K53" i="20"/>
  <c r="K42" i="20"/>
  <c r="J45" i="20"/>
  <c r="J42" i="20"/>
  <c r="J46" i="20"/>
  <c r="J50" i="20"/>
  <c r="J57" i="20"/>
  <c r="K48" i="20"/>
  <c r="K43" i="20"/>
  <c r="J48" i="20"/>
  <c r="J44" i="20"/>
  <c r="J52" i="20"/>
  <c r="K44" i="20"/>
  <c r="J47" i="20"/>
  <c r="K52" i="20"/>
  <c r="J51" i="20"/>
  <c r="K57" i="20"/>
  <c r="K50" i="20"/>
  <c r="K46" i="20"/>
  <c r="J43" i="20"/>
  <c r="J49" i="20"/>
  <c r="A42" i="21"/>
  <c r="N43" i="21"/>
  <c r="K48" i="21"/>
  <c r="J47" i="21"/>
  <c r="K59" i="21"/>
  <c r="J55" i="21"/>
  <c r="J54" i="21"/>
  <c r="K55" i="21"/>
  <c r="K51" i="21"/>
  <c r="K53" i="21"/>
  <c r="K44" i="21"/>
  <c r="K54" i="21"/>
  <c r="J53" i="21"/>
  <c r="J46" i="21"/>
  <c r="J51" i="21"/>
  <c r="K50" i="21"/>
  <c r="J49" i="21"/>
  <c r="K52" i="21"/>
  <c r="J44" i="21"/>
  <c r="J52" i="21"/>
  <c r="J50" i="21"/>
  <c r="K47" i="21"/>
  <c r="J48" i="21"/>
  <c r="J45" i="21"/>
  <c r="J59" i="21"/>
  <c r="K45" i="21"/>
  <c r="K46" i="21"/>
  <c r="K49" i="21"/>
  <c r="N40" i="19"/>
  <c r="A39" i="19"/>
  <c r="A38" i="17"/>
  <c r="O38" i="17"/>
  <c r="N37" i="17"/>
  <c r="A28" i="30"/>
  <c r="J56" i="20" l="1"/>
  <c r="A39" i="20"/>
  <c r="N40" i="20"/>
  <c r="J58" i="21"/>
  <c r="A38" i="19"/>
  <c r="N39" i="19"/>
  <c r="N42" i="21"/>
  <c r="A41" i="21"/>
  <c r="A37" i="17"/>
  <c r="O37" i="17"/>
  <c r="N36" i="17"/>
  <c r="A29" i="30"/>
  <c r="N39" i="20" l="1"/>
  <c r="A38" i="20"/>
  <c r="N38" i="19"/>
  <c r="A37" i="19"/>
  <c r="N41" i="21"/>
  <c r="A40" i="21"/>
  <c r="A36" i="17"/>
  <c r="O36" i="17"/>
  <c r="N35" i="17"/>
  <c r="A30" i="30"/>
  <c r="N38" i="20" l="1"/>
  <c r="A37" i="20"/>
  <c r="N37" i="19"/>
  <c r="A36" i="19"/>
  <c r="I47" i="19"/>
  <c r="H41" i="19"/>
  <c r="H48" i="19"/>
  <c r="H38" i="19"/>
  <c r="I45" i="19"/>
  <c r="H42" i="19"/>
  <c r="H40" i="19"/>
  <c r="H43" i="19"/>
  <c r="H47" i="19"/>
  <c r="H44" i="19"/>
  <c r="I49" i="19"/>
  <c r="I50" i="19"/>
  <c r="I43" i="19"/>
  <c r="I56" i="19"/>
  <c r="I53" i="19"/>
  <c r="H50" i="19"/>
  <c r="I48" i="19"/>
  <c r="I46" i="19"/>
  <c r="I38" i="19"/>
  <c r="H49" i="19"/>
  <c r="H52" i="19"/>
  <c r="H57" i="19"/>
  <c r="I40" i="19"/>
  <c r="H45" i="19"/>
  <c r="I51" i="19"/>
  <c r="H51" i="19"/>
  <c r="I42" i="19"/>
  <c r="H46" i="19"/>
  <c r="I52" i="19"/>
  <c r="I41" i="19"/>
  <c r="H39" i="19"/>
  <c r="I57" i="19"/>
  <c r="H53" i="19"/>
  <c r="I39" i="19"/>
  <c r="I44" i="19"/>
  <c r="A39" i="21"/>
  <c r="N40" i="21"/>
  <c r="A35" i="17"/>
  <c r="N34" i="17"/>
  <c r="O35" i="17"/>
  <c r="A31" i="30"/>
  <c r="H56" i="19" l="1"/>
  <c r="A36" i="20"/>
  <c r="N37" i="20"/>
  <c r="H45" i="20"/>
  <c r="I40" i="20"/>
  <c r="H43" i="20"/>
  <c r="I42" i="20"/>
  <c r="I48" i="20"/>
  <c r="H46" i="20"/>
  <c r="I39" i="20"/>
  <c r="H47" i="20"/>
  <c r="I53" i="20"/>
  <c r="I49" i="20"/>
  <c r="I41" i="20"/>
  <c r="H57" i="20"/>
  <c r="H48" i="20"/>
  <c r="I57" i="20"/>
  <c r="I52" i="20"/>
  <c r="H51" i="20"/>
  <c r="H41" i="20"/>
  <c r="H42" i="20"/>
  <c r="I38" i="20"/>
  <c r="H39" i="20"/>
  <c r="H53" i="20"/>
  <c r="H49" i="20"/>
  <c r="H50" i="20"/>
  <c r="H44" i="20"/>
  <c r="I44" i="20"/>
  <c r="H52" i="20"/>
  <c r="I46" i="20"/>
  <c r="I51" i="20"/>
  <c r="I50" i="20"/>
  <c r="I45" i="20"/>
  <c r="H40" i="20"/>
  <c r="I47" i="20"/>
  <c r="I56" i="20"/>
  <c r="I43" i="20"/>
  <c r="H38" i="20"/>
  <c r="H45" i="21"/>
  <c r="H41" i="21"/>
  <c r="I44" i="21"/>
  <c r="I49" i="21"/>
  <c r="H44" i="21"/>
  <c r="H47" i="21"/>
  <c r="I47" i="21"/>
  <c r="H46" i="21"/>
  <c r="H48" i="21"/>
  <c r="I53" i="21"/>
  <c r="H54" i="21"/>
  <c r="H52" i="21"/>
  <c r="I45" i="21"/>
  <c r="H59" i="21"/>
  <c r="I52" i="21"/>
  <c r="H40" i="21"/>
  <c r="I42" i="21"/>
  <c r="I51" i="21"/>
  <c r="I58" i="21"/>
  <c r="I41" i="21"/>
  <c r="I50" i="21"/>
  <c r="H43" i="21"/>
  <c r="H42" i="21"/>
  <c r="I40" i="21"/>
  <c r="H51" i="21"/>
  <c r="H55" i="21"/>
  <c r="H53" i="21"/>
  <c r="H50" i="21"/>
  <c r="I55" i="21"/>
  <c r="I59" i="21"/>
  <c r="I54" i="21"/>
  <c r="H49" i="21"/>
  <c r="I43" i="21"/>
  <c r="I48" i="21"/>
  <c r="I46" i="21"/>
  <c r="N39" i="21"/>
  <c r="A38" i="21"/>
  <c r="A35" i="19"/>
  <c r="N36" i="19"/>
  <c r="O34" i="17"/>
  <c r="N33" i="17"/>
  <c r="A34" i="17"/>
  <c r="A32" i="30"/>
  <c r="H56" i="20" l="1"/>
  <c r="A35" i="20"/>
  <c r="N36" i="20"/>
  <c r="H58" i="21"/>
  <c r="A34" i="19"/>
  <c r="N35" i="19"/>
  <c r="N38" i="21"/>
  <c r="A37" i="21"/>
  <c r="N32" i="17"/>
  <c r="O33" i="17"/>
  <c r="A33" i="17"/>
  <c r="A33" i="30"/>
  <c r="C51" i="22"/>
  <c r="C57" i="22" l="1"/>
  <c r="C59" i="22"/>
  <c r="E59" i="22" s="1"/>
  <c r="D14" i="27" s="1"/>
  <c r="A34" i="20"/>
  <c r="N35" i="20"/>
  <c r="N34" i="19"/>
  <c r="A33" i="19"/>
  <c r="N37" i="21"/>
  <c r="A36" i="21"/>
  <c r="A32" i="17"/>
  <c r="N31" i="17"/>
  <c r="O32" i="17"/>
  <c r="A34" i="30"/>
  <c r="E51" i="22"/>
  <c r="C62" i="22" l="1"/>
  <c r="D20" i="27"/>
  <c r="E20" i="27" s="1"/>
  <c r="D19" i="27"/>
  <c r="E19" i="27" s="1"/>
  <c r="A33" i="20"/>
  <c r="N34" i="20"/>
  <c r="N33" i="19"/>
  <c r="A32" i="19"/>
  <c r="G43" i="19"/>
  <c r="G36" i="19"/>
  <c r="F51" i="19"/>
  <c r="F39" i="19"/>
  <c r="F57" i="19"/>
  <c r="G52" i="19"/>
  <c r="F37" i="19"/>
  <c r="G53" i="19"/>
  <c r="G49" i="19"/>
  <c r="G56" i="19"/>
  <c r="C28" i="18" s="1"/>
  <c r="G41" i="19"/>
  <c r="G40" i="19"/>
  <c r="G57" i="19"/>
  <c r="F52" i="19"/>
  <c r="G47" i="19"/>
  <c r="F40" i="19"/>
  <c r="F53" i="19"/>
  <c r="F46" i="19"/>
  <c r="F48" i="19"/>
  <c r="G45" i="19"/>
  <c r="F34" i="19"/>
  <c r="G42" i="19"/>
  <c r="F38" i="19"/>
  <c r="G35" i="19"/>
  <c r="G46" i="19"/>
  <c r="F35" i="19"/>
  <c r="F36" i="19"/>
  <c r="F50" i="19"/>
  <c r="G39" i="19"/>
  <c r="F42" i="19"/>
  <c r="G44" i="19"/>
  <c r="F44" i="19"/>
  <c r="F45" i="19"/>
  <c r="F49" i="19"/>
  <c r="G48" i="19"/>
  <c r="F47" i="19"/>
  <c r="F41" i="19"/>
  <c r="G51" i="19"/>
  <c r="G34" i="19"/>
  <c r="F43" i="19"/>
  <c r="G38" i="19"/>
  <c r="G37" i="19"/>
  <c r="G50" i="19"/>
  <c r="N36" i="21"/>
  <c r="A35" i="21"/>
  <c r="E62" i="22"/>
  <c r="N30" i="17"/>
  <c r="O31" i="17"/>
  <c r="A31" i="17"/>
  <c r="A35" i="30"/>
  <c r="D18" i="27"/>
  <c r="E18" i="27" s="1"/>
  <c r="D17" i="27"/>
  <c r="E17" i="27" s="1"/>
  <c r="D22" i="27"/>
  <c r="E22" i="27" s="1"/>
  <c r="C22" i="1" s="1"/>
  <c r="E57" i="22"/>
  <c r="F56" i="19" l="1"/>
  <c r="C30" i="18"/>
  <c r="G45" i="20"/>
  <c r="F40" i="20"/>
  <c r="F39" i="20"/>
  <c r="G53" i="20"/>
  <c r="G56" i="20"/>
  <c r="G51" i="20"/>
  <c r="G46" i="20"/>
  <c r="G40" i="20"/>
  <c r="F43" i="20"/>
  <c r="G36" i="20"/>
  <c r="F49" i="20"/>
  <c r="G47" i="20"/>
  <c r="F45" i="20"/>
  <c r="G48" i="20"/>
  <c r="F52" i="20"/>
  <c r="F35" i="20"/>
  <c r="F42" i="20"/>
  <c r="F37" i="20"/>
  <c r="F41" i="20"/>
  <c r="G50" i="20"/>
  <c r="G57" i="20"/>
  <c r="G38" i="20"/>
  <c r="G49" i="20"/>
  <c r="F44" i="20"/>
  <c r="F51" i="20"/>
  <c r="F57" i="20"/>
  <c r="F34" i="20"/>
  <c r="G52" i="20"/>
  <c r="F53" i="20"/>
  <c r="G34" i="20"/>
  <c r="G41" i="20"/>
  <c r="G35" i="20"/>
  <c r="F48" i="20"/>
  <c r="F36" i="20"/>
  <c r="F38" i="20"/>
  <c r="F47" i="20"/>
  <c r="F50" i="20"/>
  <c r="G42" i="20"/>
  <c r="G37" i="20"/>
  <c r="F46" i="20"/>
  <c r="G39" i="20"/>
  <c r="G44" i="20"/>
  <c r="G43" i="20"/>
  <c r="N33" i="20"/>
  <c r="A32" i="20"/>
  <c r="A34" i="21"/>
  <c r="N35" i="21"/>
  <c r="F52" i="21"/>
  <c r="G36" i="21"/>
  <c r="G37" i="21"/>
  <c r="F36" i="21"/>
  <c r="F54" i="21"/>
  <c r="G51" i="21"/>
  <c r="F40" i="21"/>
  <c r="F59" i="21"/>
  <c r="G43" i="21"/>
  <c r="F47" i="21"/>
  <c r="F46" i="21"/>
  <c r="F44" i="21"/>
  <c r="F45" i="21"/>
  <c r="G44" i="21"/>
  <c r="F51" i="21"/>
  <c r="G46" i="21"/>
  <c r="F39" i="21"/>
  <c r="F50" i="21"/>
  <c r="F48" i="21"/>
  <c r="F55" i="21"/>
  <c r="G38" i="21"/>
  <c r="G52" i="21"/>
  <c r="G48" i="21"/>
  <c r="G58" i="21"/>
  <c r="E28" i="18" s="1"/>
  <c r="E30" i="18" s="1"/>
  <c r="F43" i="21"/>
  <c r="G42" i="21"/>
  <c r="F42" i="21"/>
  <c r="F37" i="21"/>
  <c r="G45" i="21"/>
  <c r="F38" i="21"/>
  <c r="G55" i="21"/>
  <c r="F41" i="21"/>
  <c r="G59" i="21"/>
  <c r="F53" i="21"/>
  <c r="G49" i="21"/>
  <c r="G50" i="21"/>
  <c r="G39" i="21"/>
  <c r="G53" i="21"/>
  <c r="G47" i="21"/>
  <c r="G41" i="21"/>
  <c r="G40" i="21"/>
  <c r="G54" i="21"/>
  <c r="F49" i="21"/>
  <c r="A31" i="19"/>
  <c r="N32" i="19"/>
  <c r="O30" i="17"/>
  <c r="A30" i="17"/>
  <c r="N29" i="17"/>
  <c r="A36" i="30"/>
  <c r="D28" i="18" l="1"/>
  <c r="F56" i="20"/>
  <c r="F58" i="21"/>
  <c r="A31" i="20"/>
  <c r="N32" i="20"/>
  <c r="A30" i="19"/>
  <c r="N31" i="19"/>
  <c r="N34" i="21"/>
  <c r="A33" i="21"/>
  <c r="O29" i="17"/>
  <c r="N28" i="17"/>
  <c r="A29" i="17"/>
  <c r="A37" i="30"/>
  <c r="F28" i="18" l="1"/>
  <c r="F30" i="18" s="1"/>
  <c r="D30" i="18"/>
  <c r="A30" i="20"/>
  <c r="N31" i="20"/>
  <c r="N30" i="19"/>
  <c r="A29" i="19"/>
  <c r="N33" i="21"/>
  <c r="A32" i="21"/>
  <c r="A28" i="17"/>
  <c r="O28" i="17"/>
  <c r="N27" i="17"/>
  <c r="A38" i="30"/>
  <c r="I19" i="15" l="1"/>
  <c r="F39" i="15" s="1"/>
  <c r="N30" i="20"/>
  <c r="A29" i="20"/>
  <c r="N32" i="21"/>
  <c r="A31" i="21"/>
  <c r="F32" i="15"/>
  <c r="F34" i="15"/>
  <c r="F38" i="15"/>
  <c r="F33" i="15"/>
  <c r="A28" i="19"/>
  <c r="N29" i="19"/>
  <c r="N26" i="17"/>
  <c r="A27" i="17"/>
  <c r="O27" i="17"/>
  <c r="A39" i="30"/>
  <c r="F36" i="15" l="1"/>
  <c r="F31" i="15"/>
  <c r="F37" i="15"/>
  <c r="F35" i="15"/>
  <c r="F30" i="15"/>
  <c r="N29" i="20"/>
  <c r="A28" i="20"/>
  <c r="A30" i="21"/>
  <c r="N31" i="21"/>
  <c r="A27" i="19"/>
  <c r="N28" i="19"/>
  <c r="A26" i="17"/>
  <c r="N25" i="17"/>
  <c r="O26" i="17"/>
  <c r="A40" i="30"/>
  <c r="N28" i="20" l="1"/>
  <c r="A27" i="20"/>
  <c r="A26" i="19"/>
  <c r="N27" i="19"/>
  <c r="A29" i="21"/>
  <c r="N30" i="21"/>
  <c r="A25" i="17"/>
  <c r="O25" i="17"/>
  <c r="N24" i="17"/>
  <c r="A41" i="30"/>
  <c r="A26" i="20" l="1"/>
  <c r="N27" i="20"/>
  <c r="A28" i="21"/>
  <c r="N29" i="21"/>
  <c r="N26" i="19"/>
  <c r="A25" i="19"/>
  <c r="A24" i="17"/>
  <c r="N23" i="17"/>
  <c r="O24" i="17"/>
  <c r="A42" i="30"/>
  <c r="A25" i="20" l="1"/>
  <c r="N26" i="20"/>
  <c r="A27" i="21"/>
  <c r="N28" i="21"/>
  <c r="A24" i="19"/>
  <c r="N25" i="19"/>
  <c r="A23" i="17"/>
  <c r="O23" i="17"/>
  <c r="N22" i="17"/>
  <c r="A43" i="30"/>
  <c r="N25" i="20" l="1"/>
  <c r="A24" i="20"/>
  <c r="A23" i="19"/>
  <c r="N24" i="19"/>
  <c r="A26" i="21"/>
  <c r="N27" i="21"/>
  <c r="N21" i="17"/>
  <c r="O22" i="17"/>
  <c r="A22" i="17"/>
  <c r="A44" i="30"/>
  <c r="N24" i="20" l="1"/>
  <c r="A23" i="20"/>
  <c r="N23" i="19"/>
  <c r="A22" i="19"/>
  <c r="N26" i="21"/>
  <c r="A25" i="21"/>
  <c r="A21" i="17"/>
  <c r="O21" i="17"/>
  <c r="N20" i="17"/>
  <c r="A45" i="30"/>
  <c r="A22" i="20" l="1"/>
  <c r="N23" i="20"/>
  <c r="N22" i="19"/>
  <c r="A21" i="19"/>
  <c r="N25" i="21"/>
  <c r="A24" i="21"/>
  <c r="N19" i="17"/>
  <c r="O20" i="17"/>
  <c r="A20" i="17"/>
  <c r="A21" i="20" l="1"/>
  <c r="N22" i="20"/>
  <c r="A20" i="19"/>
  <c r="N21" i="19"/>
  <c r="A23" i="21"/>
  <c r="N24" i="21"/>
  <c r="N18" i="17"/>
  <c r="O19" i="17"/>
  <c r="A19" i="17"/>
  <c r="A20" i="20" l="1"/>
  <c r="N21" i="20"/>
  <c r="N23" i="21"/>
  <c r="A22" i="21"/>
  <c r="N20" i="19"/>
  <c r="A19" i="19"/>
  <c r="A18" i="17"/>
  <c r="N17" i="17"/>
  <c r="O18" i="17"/>
  <c r="A19" i="20" l="1"/>
  <c r="N20" i="20"/>
  <c r="N22" i="21"/>
  <c r="A21" i="21"/>
  <c r="N19" i="19"/>
  <c r="A18" i="19"/>
  <c r="A17" i="17"/>
  <c r="N16" i="17"/>
  <c r="O17" i="17"/>
  <c r="A18" i="20" l="1"/>
  <c r="N19" i="20"/>
  <c r="N18" i="19"/>
  <c r="A17" i="19"/>
  <c r="N21" i="21"/>
  <c r="A20" i="21"/>
  <c r="O16" i="17"/>
  <c r="N15" i="17"/>
  <c r="A16" i="17"/>
  <c r="A17" i="20" l="1"/>
  <c r="N18" i="20"/>
  <c r="N20" i="21"/>
  <c r="A19" i="21"/>
  <c r="N17" i="19"/>
  <c r="A16" i="19"/>
  <c r="N14" i="17"/>
  <c r="O15" i="17"/>
  <c r="A15" i="17"/>
  <c r="A16" i="20" l="1"/>
  <c r="N17" i="20"/>
  <c r="A15" i="19"/>
  <c r="N16" i="19"/>
  <c r="N19" i="21"/>
  <c r="A18" i="21"/>
  <c r="A14" i="17"/>
  <c r="O14" i="17"/>
  <c r="A15" i="20" l="1"/>
  <c r="N16" i="20"/>
  <c r="N18" i="21"/>
  <c r="A17" i="21"/>
  <c r="N15" i="19"/>
  <c r="A14" i="19"/>
  <c r="N14" i="19" s="1"/>
  <c r="N15" i="20" l="1"/>
  <c r="A14" i="20"/>
  <c r="N14" i="20" s="1"/>
  <c r="E14" i="19"/>
  <c r="D31" i="19"/>
  <c r="D50" i="19"/>
  <c r="D42" i="19"/>
  <c r="E52" i="19"/>
  <c r="E33" i="19"/>
  <c r="E18" i="19"/>
  <c r="E47" i="19"/>
  <c r="E23" i="19"/>
  <c r="E20" i="19"/>
  <c r="E35" i="19"/>
  <c r="D35" i="19"/>
  <c r="E17" i="19"/>
  <c r="D51" i="19"/>
  <c r="E24" i="19"/>
  <c r="E21" i="19"/>
  <c r="D30" i="19"/>
  <c r="E19" i="19"/>
  <c r="E32" i="19"/>
  <c r="D27" i="19"/>
  <c r="E25" i="19"/>
  <c r="E30" i="19"/>
  <c r="D57" i="19"/>
  <c r="D14" i="19"/>
  <c r="E46" i="19"/>
  <c r="E27" i="19"/>
  <c r="D17" i="19"/>
  <c r="E51" i="19"/>
  <c r="E41" i="19"/>
  <c r="D28" i="19"/>
  <c r="D22" i="19"/>
  <c r="D21" i="19"/>
  <c r="D23" i="19"/>
  <c r="D49" i="19"/>
  <c r="D39" i="19"/>
  <c r="D53" i="19"/>
  <c r="D48" i="19"/>
  <c r="D44" i="19"/>
  <c r="D29" i="19"/>
  <c r="E29" i="19"/>
  <c r="E16" i="19"/>
  <c r="D41" i="19"/>
  <c r="D52" i="19"/>
  <c r="D45" i="19"/>
  <c r="E28" i="19"/>
  <c r="E45" i="19"/>
  <c r="E34" i="19"/>
  <c r="D16" i="19"/>
  <c r="D38" i="19"/>
  <c r="D25" i="19"/>
  <c r="E31" i="19"/>
  <c r="E15" i="19"/>
  <c r="E22" i="19"/>
  <c r="D19" i="19"/>
  <c r="D15" i="19"/>
  <c r="E53" i="19"/>
  <c r="D26" i="19"/>
  <c r="E49" i="19"/>
  <c r="E37" i="19"/>
  <c r="D24" i="19"/>
  <c r="D43" i="19"/>
  <c r="D18" i="19"/>
  <c r="E38" i="19"/>
  <c r="D34" i="19"/>
  <c r="D20" i="19"/>
  <c r="D33" i="19"/>
  <c r="E50" i="19"/>
  <c r="E36" i="19"/>
  <c r="D36" i="19"/>
  <c r="E43" i="19"/>
  <c r="E40" i="19"/>
  <c r="D32" i="19"/>
  <c r="D47" i="19"/>
  <c r="E57" i="19"/>
  <c r="D37" i="19"/>
  <c r="E26" i="19"/>
  <c r="E48" i="19"/>
  <c r="D46" i="19"/>
  <c r="E42" i="19"/>
  <c r="D40" i="19"/>
  <c r="E56" i="19"/>
  <c r="E44" i="19"/>
  <c r="E39" i="19"/>
  <c r="N17" i="21"/>
  <c r="A16" i="21"/>
  <c r="D17" i="20" l="1"/>
  <c r="E14" i="20"/>
  <c r="D18" i="20"/>
  <c r="D21" i="20"/>
  <c r="E33" i="20"/>
  <c r="D33" i="20"/>
  <c r="E18" i="20"/>
  <c r="D48" i="20"/>
  <c r="E43" i="20"/>
  <c r="D19" i="20"/>
  <c r="D45" i="20"/>
  <c r="D14" i="20"/>
  <c r="D42" i="20"/>
  <c r="D36" i="20"/>
  <c r="D47" i="20"/>
  <c r="D23" i="20"/>
  <c r="D39" i="20"/>
  <c r="E52" i="20"/>
  <c r="E28" i="20"/>
  <c r="D50" i="20"/>
  <c r="E20" i="20"/>
  <c r="D20" i="20"/>
  <c r="E42" i="20"/>
  <c r="D22" i="20"/>
  <c r="E44" i="20"/>
  <c r="D46" i="20"/>
  <c r="D27" i="20"/>
  <c r="E48" i="20"/>
  <c r="D49" i="20"/>
  <c r="E23" i="20"/>
  <c r="D37" i="20"/>
  <c r="E19" i="20"/>
  <c r="D44" i="20"/>
  <c r="D51" i="20"/>
  <c r="E30" i="20"/>
  <c r="E35" i="20"/>
  <c r="E16" i="20"/>
  <c r="E39" i="20"/>
  <c r="D30" i="20"/>
  <c r="D34" i="20"/>
  <c r="E46" i="20"/>
  <c r="D29" i="20"/>
  <c r="D38" i="20"/>
  <c r="E29" i="20"/>
  <c r="E56" i="20"/>
  <c r="E57" i="20"/>
  <c r="E24" i="20"/>
  <c r="E36" i="20"/>
  <c r="D26" i="20"/>
  <c r="D41" i="20"/>
  <c r="D28" i="20"/>
  <c r="E21" i="20"/>
  <c r="E53" i="20"/>
  <c r="E27" i="20"/>
  <c r="E25" i="20"/>
  <c r="E34" i="20"/>
  <c r="D43" i="20"/>
  <c r="D40" i="20"/>
  <c r="D32" i="20"/>
  <c r="E49" i="20"/>
  <c r="E37" i="20"/>
  <c r="E15" i="20"/>
  <c r="D15" i="20"/>
  <c r="D57" i="20"/>
  <c r="E47" i="20"/>
  <c r="E40" i="20"/>
  <c r="D52" i="20"/>
  <c r="D53" i="20"/>
  <c r="E31" i="20"/>
  <c r="E22" i="20"/>
  <c r="E17" i="20"/>
  <c r="E32" i="20"/>
  <c r="E26" i="20"/>
  <c r="E45" i="20"/>
  <c r="D24" i="20"/>
  <c r="E38" i="20"/>
  <c r="E51" i="20"/>
  <c r="E50" i="20"/>
  <c r="E41" i="20"/>
  <c r="D35" i="20"/>
  <c r="D16" i="20"/>
  <c r="D25" i="20"/>
  <c r="D31" i="20"/>
  <c r="D56" i="19"/>
  <c r="A15" i="21"/>
  <c r="N16" i="21"/>
  <c r="D56" i="20" l="1"/>
  <c r="N15" i="21"/>
  <c r="A14" i="21"/>
  <c r="N14" i="21" s="1"/>
  <c r="E42" i="21" l="1"/>
  <c r="D27" i="21"/>
  <c r="E26" i="21"/>
  <c r="E38" i="21"/>
  <c r="E58" i="21"/>
  <c r="D20" i="21"/>
  <c r="E55" i="21"/>
  <c r="E17" i="21"/>
  <c r="D18" i="21"/>
  <c r="D28" i="21"/>
  <c r="D54" i="21"/>
  <c r="D29" i="21"/>
  <c r="E33" i="21"/>
  <c r="E54" i="21"/>
  <c r="D39" i="21"/>
  <c r="E47" i="21"/>
  <c r="E16" i="21"/>
  <c r="D41" i="21"/>
  <c r="D22" i="21"/>
  <c r="D49" i="21"/>
  <c r="E34" i="21"/>
  <c r="D23" i="21"/>
  <c r="E14" i="21"/>
  <c r="D45" i="21"/>
  <c r="D19" i="21"/>
  <c r="D50" i="21"/>
  <c r="D37" i="21"/>
  <c r="D25" i="21"/>
  <c r="E35" i="21"/>
  <c r="E45" i="21"/>
  <c r="D44" i="21"/>
  <c r="E51" i="21"/>
  <c r="D36" i="21"/>
  <c r="D43" i="21"/>
  <c r="D40" i="21"/>
  <c r="E18" i="21"/>
  <c r="D21" i="21"/>
  <c r="E40" i="21"/>
  <c r="D14" i="21"/>
  <c r="D32" i="21"/>
  <c r="E41" i="21"/>
  <c r="D53" i="21"/>
  <c r="E20" i="21"/>
  <c r="D42" i="21"/>
  <c r="E53" i="21"/>
  <c r="D46" i="21"/>
  <c r="E30" i="21"/>
  <c r="D26" i="21"/>
  <c r="E49" i="21"/>
  <c r="D15" i="21"/>
  <c r="D30" i="21"/>
  <c r="E22" i="21"/>
  <c r="E25" i="21"/>
  <c r="E50" i="21"/>
  <c r="E29" i="21"/>
  <c r="E52" i="21"/>
  <c r="E36" i="21"/>
  <c r="E44" i="21"/>
  <c r="D47" i="21"/>
  <c r="D31" i="21"/>
  <c r="D48" i="21"/>
  <c r="E31" i="21"/>
  <c r="D33" i="21"/>
  <c r="E24" i="21"/>
  <c r="D17" i="21"/>
  <c r="E48" i="21"/>
  <c r="E46" i="21"/>
  <c r="E32" i="21"/>
  <c r="D34" i="21"/>
  <c r="E15" i="21"/>
  <c r="E43" i="21"/>
  <c r="D52" i="21"/>
  <c r="D38" i="21"/>
  <c r="D35" i="21"/>
  <c r="E28" i="21"/>
  <c r="E37" i="21"/>
  <c r="E39" i="21"/>
  <c r="D16" i="21"/>
  <c r="E27" i="21"/>
  <c r="E59" i="21"/>
  <c r="E23" i="21"/>
  <c r="D51" i="21"/>
  <c r="E21" i="21"/>
  <c r="D24" i="21"/>
  <c r="E19" i="21"/>
  <c r="D59" i="21"/>
  <c r="D58" i="21" l="1"/>
  <c r="F45" i="17" l="1"/>
  <c r="F41" i="17"/>
  <c r="G41" i="17" l="1"/>
  <c r="G45" i="17"/>
  <c r="F42" i="17" l="1"/>
  <c r="F46" i="17"/>
  <c r="D34" i="34" l="1"/>
  <c r="D34" i="33"/>
  <c r="G46" i="17"/>
  <c r="G42" i="17"/>
  <c r="F43" i="17"/>
  <c r="D35" i="33" l="1"/>
  <c r="D35" i="34"/>
  <c r="D36" i="33"/>
  <c r="D36" i="34"/>
  <c r="F47" i="17"/>
  <c r="G43" i="17"/>
  <c r="C20" i="15" s="1"/>
  <c r="C37" i="15" s="1"/>
  <c r="D15" i="45" l="1"/>
  <c r="D38" i="34"/>
  <c r="D38" i="33"/>
  <c r="D37" i="34"/>
  <c r="D37" i="33"/>
  <c r="F48" i="17"/>
  <c r="H50" i="17" s="1"/>
  <c r="F44" i="17"/>
  <c r="H47" i="17" s="1"/>
  <c r="G47" i="17"/>
  <c r="C21" i="15" s="1"/>
  <c r="C38" i="15" s="1"/>
  <c r="H48" i="17" l="1"/>
  <c r="H49" i="17"/>
  <c r="D40" i="34"/>
  <c r="D40" i="33"/>
  <c r="D14" i="45"/>
  <c r="D16" i="45"/>
  <c r="D39" i="33"/>
  <c r="D39" i="34"/>
  <c r="G44" i="17"/>
  <c r="H45" i="17"/>
  <c r="H46" i="17"/>
  <c r="H44" i="17"/>
  <c r="H51" i="17"/>
  <c r="G48" i="17"/>
  <c r="D18" i="45" l="1"/>
  <c r="D14" i="44" s="1"/>
  <c r="D41" i="34"/>
  <c r="D41" i="33"/>
  <c r="D17" i="45"/>
  <c r="D14" i="42" l="1"/>
  <c r="D14" i="41"/>
  <c r="D14" i="43"/>
  <c r="D19" i="45"/>
  <c r="D15" i="44" s="1"/>
  <c r="D43" i="34"/>
  <c r="D43" i="33"/>
  <c r="D42" i="33"/>
  <c r="D42" i="34"/>
  <c r="D15" i="42" l="1"/>
  <c r="D15" i="41"/>
  <c r="D15" i="43"/>
  <c r="D44" i="34"/>
  <c r="D44" i="33"/>
  <c r="D21" i="45" l="1"/>
  <c r="D17" i="44" s="1"/>
  <c r="D20" i="45"/>
  <c r="D16" i="44" s="1"/>
  <c r="D45" i="33"/>
  <c r="D45" i="34"/>
  <c r="D16" i="41" l="1"/>
  <c r="D16" i="42"/>
  <c r="D16" i="43"/>
  <c r="D17" i="41"/>
  <c r="D17" i="43"/>
  <c r="D17" i="42"/>
  <c r="D46" i="34"/>
  <c r="D46" i="33"/>
  <c r="D47" i="34" l="1"/>
  <c r="D47" i="33"/>
  <c r="D22" i="45"/>
  <c r="D18" i="44" s="1"/>
  <c r="D23" i="45"/>
  <c r="D19" i="44" s="1"/>
  <c r="D19" i="42" l="1"/>
  <c r="D19" i="41"/>
  <c r="D19" i="43"/>
  <c r="D18" i="42"/>
  <c r="D18" i="43"/>
  <c r="D18" i="41"/>
  <c r="D24" i="45"/>
  <c r="D20" i="44" s="1"/>
  <c r="D48" i="34"/>
  <c r="D48" i="33"/>
  <c r="D20" i="42" l="1"/>
  <c r="D20" i="43"/>
  <c r="D20" i="41"/>
  <c r="D49" i="34"/>
  <c r="D49" i="33"/>
  <c r="D50" i="33" l="1"/>
  <c r="D50" i="34"/>
  <c r="D25" i="45"/>
  <c r="D21" i="44" s="1"/>
  <c r="D21" i="41" l="1"/>
  <c r="D21" i="43"/>
  <c r="D21" i="42"/>
  <c r="E23" i="33"/>
  <c r="E23" i="31" l="1"/>
  <c r="E23" i="32"/>
  <c r="E22" i="33"/>
  <c r="E23" i="34"/>
  <c r="G23" i="34" s="1"/>
  <c r="F23" i="30" s="1"/>
  <c r="E22" i="32"/>
  <c r="G23" i="33"/>
  <c r="E23" i="30" s="1"/>
  <c r="E22" i="34"/>
  <c r="G22" i="32" l="1"/>
  <c r="D22" i="30" s="1"/>
  <c r="G22" i="33"/>
  <c r="E22" i="30" s="1"/>
  <c r="G23" i="32"/>
  <c r="D23" i="30" s="1"/>
  <c r="E39" i="29"/>
  <c r="G23" i="31"/>
  <c r="C23" i="30" s="1"/>
  <c r="G22" i="34"/>
  <c r="F22" i="30" s="1"/>
  <c r="E22" i="31" l="1"/>
  <c r="G22" i="31" l="1"/>
  <c r="C22" i="30" s="1"/>
  <c r="E38" i="29"/>
  <c r="E25" i="33"/>
  <c r="E25" i="32"/>
  <c r="E25" i="34"/>
  <c r="G25" i="33" l="1"/>
  <c r="E25" i="30" s="1"/>
  <c r="E24" i="33"/>
  <c r="E25" i="31"/>
  <c r="E41" i="29" s="1"/>
  <c r="E24" i="34"/>
  <c r="G25" i="34"/>
  <c r="F25" i="30" s="1"/>
  <c r="E24" i="31"/>
  <c r="G24" i="31" s="1"/>
  <c r="C24" i="30" s="1"/>
  <c r="E24" i="32"/>
  <c r="E26" i="34"/>
  <c r="E26" i="33"/>
  <c r="E26" i="32"/>
  <c r="G25" i="32"/>
  <c r="D25" i="30" s="1"/>
  <c r="G26" i="33" l="1"/>
  <c r="E26" i="30" s="1"/>
  <c r="G26" i="34"/>
  <c r="F26" i="30" s="1"/>
  <c r="E40" i="29"/>
  <c r="E27" i="32"/>
  <c r="E27" i="34"/>
  <c r="G24" i="34"/>
  <c r="F24" i="30" s="1"/>
  <c r="G25" i="31"/>
  <c r="C25" i="30" s="1"/>
  <c r="G24" i="32"/>
  <c r="D24" i="30" s="1"/>
  <c r="G24" i="33"/>
  <c r="E24" i="30" s="1"/>
  <c r="G27" i="32" l="1"/>
  <c r="D27" i="30" s="1"/>
  <c r="E27" i="31"/>
  <c r="G26" i="32"/>
  <c r="D26" i="30" s="1"/>
  <c r="E28" i="33"/>
  <c r="G27" i="34"/>
  <c r="F27" i="30" s="1"/>
  <c r="E26" i="31"/>
  <c r="E42" i="29" l="1"/>
  <c r="G28" i="33"/>
  <c r="E28" i="30" s="1"/>
  <c r="G27" i="31"/>
  <c r="C27" i="30" s="1"/>
  <c r="G26" i="31"/>
  <c r="C26" i="30" s="1"/>
  <c r="E27" i="33"/>
  <c r="E43" i="29" s="1"/>
  <c r="E28" i="32"/>
  <c r="E29" i="34"/>
  <c r="G29" i="34" l="1"/>
  <c r="F29" i="30" s="1"/>
  <c r="E30" i="32"/>
  <c r="E30" i="34"/>
  <c r="E30" i="33"/>
  <c r="E29" i="33"/>
  <c r="G29" i="33" s="1"/>
  <c r="E29" i="30" s="1"/>
  <c r="E28" i="31"/>
  <c r="E28" i="34"/>
  <c r="E29" i="31"/>
  <c r="G28" i="32"/>
  <c r="D28" i="30" s="1"/>
  <c r="G27" i="33"/>
  <c r="E27" i="30" s="1"/>
  <c r="G30" i="34" l="1"/>
  <c r="F30" i="30" s="1"/>
  <c r="G29" i="31"/>
  <c r="C29" i="30" s="1"/>
  <c r="G30" i="33"/>
  <c r="E30" i="30" s="1"/>
  <c r="G30" i="32"/>
  <c r="D30" i="30" s="1"/>
  <c r="E29" i="32"/>
  <c r="E45" i="29" s="1"/>
  <c r="E44" i="29"/>
  <c r="E31" i="32"/>
  <c r="E30" i="31"/>
  <c r="E46" i="29" s="1"/>
  <c r="C20" i="28" s="1"/>
  <c r="G28" i="34"/>
  <c r="F28" i="30" s="1"/>
  <c r="G28" i="31"/>
  <c r="C28" i="30" s="1"/>
  <c r="G29" i="32" l="1"/>
  <c r="D29" i="30" s="1"/>
  <c r="E32" i="33"/>
  <c r="E32" i="32"/>
  <c r="E32" i="34"/>
  <c r="G31" i="32"/>
  <c r="D31" i="30" s="1"/>
  <c r="E31" i="34"/>
  <c r="G31" i="34" s="1"/>
  <c r="F31" i="30" s="1"/>
  <c r="E31" i="33"/>
  <c r="G30" i="31"/>
  <c r="C30" i="30" s="1"/>
  <c r="E31" i="31"/>
  <c r="G32" i="34" l="1"/>
  <c r="F32" i="30" s="1"/>
  <c r="G31" i="31"/>
  <c r="C31" i="30" s="1"/>
  <c r="G32" i="32"/>
  <c r="D32" i="30" s="1"/>
  <c r="E32" i="31"/>
  <c r="E48" i="29" s="1"/>
  <c r="G31" i="33"/>
  <c r="E31" i="30" s="1"/>
  <c r="E47" i="29"/>
  <c r="E33" i="32"/>
  <c r="E33" i="33"/>
  <c r="G32" i="33"/>
  <c r="E32" i="30" s="1"/>
  <c r="G33" i="32" l="1"/>
  <c r="D33" i="30" s="1"/>
  <c r="G33" i="33"/>
  <c r="E33" i="30" s="1"/>
  <c r="E34" i="32"/>
  <c r="E34" i="34"/>
  <c r="E34" i="33"/>
  <c r="E33" i="34"/>
  <c r="G33" i="34" s="1"/>
  <c r="F33" i="30" s="1"/>
  <c r="E33" i="31"/>
  <c r="G32" i="31"/>
  <c r="C32" i="30" s="1"/>
  <c r="E49" i="29" l="1"/>
  <c r="G34" i="32"/>
  <c r="D34" i="30" s="1"/>
  <c r="G33" i="31"/>
  <c r="C33" i="30" s="1"/>
  <c r="G34" i="33"/>
  <c r="E34" i="30" s="1"/>
  <c r="E35" i="34"/>
  <c r="E35" i="32"/>
  <c r="E35" i="33"/>
  <c r="G34" i="34"/>
  <c r="F34" i="30" s="1"/>
  <c r="E34" i="31"/>
  <c r="E50" i="29" s="1"/>
  <c r="C21" i="28" s="1"/>
  <c r="G34" i="31" l="1"/>
  <c r="C34" i="30" s="1"/>
  <c r="E35" i="31"/>
  <c r="E51" i="29" s="1"/>
  <c r="G35" i="34"/>
  <c r="F35" i="30" s="1"/>
  <c r="G35" i="32"/>
  <c r="D35" i="30" s="1"/>
  <c r="E36" i="33"/>
  <c r="E36" i="32"/>
  <c r="E36" i="34"/>
  <c r="G35" i="33"/>
  <c r="E35" i="30" s="1"/>
  <c r="G35" i="31" l="1"/>
  <c r="C35" i="30" s="1"/>
  <c r="G36" i="33"/>
  <c r="E36" i="30" s="1"/>
  <c r="E37" i="32"/>
  <c r="E37" i="33"/>
  <c r="E37" i="34"/>
  <c r="E36" i="31"/>
  <c r="E52" i="29" s="1"/>
  <c r="C22" i="28" s="1"/>
  <c r="G36" i="34"/>
  <c r="F36" i="30" s="1"/>
  <c r="G36" i="32"/>
  <c r="D36" i="30" s="1"/>
  <c r="G37" i="33" l="1"/>
  <c r="E37" i="30" s="1"/>
  <c r="G37" i="34"/>
  <c r="F37" i="30" s="1"/>
  <c r="G36" i="31"/>
  <c r="C36" i="30" s="1"/>
  <c r="E37" i="31"/>
  <c r="E53" i="29" s="1"/>
  <c r="E38" i="32"/>
  <c r="E38" i="33"/>
  <c r="E38" i="34"/>
  <c r="G37" i="32"/>
  <c r="D37" i="30" s="1"/>
  <c r="G37" i="31" l="1"/>
  <c r="C37" i="30" s="1"/>
  <c r="G38" i="32"/>
  <c r="D38" i="30" s="1"/>
  <c r="G38" i="33"/>
  <c r="E38" i="30" s="1"/>
  <c r="E38" i="31"/>
  <c r="E54" i="29" s="1"/>
  <c r="C23" i="28" s="1"/>
  <c r="G38" i="34"/>
  <c r="F38" i="30" s="1"/>
  <c r="E39" i="32"/>
  <c r="E39" i="33"/>
  <c r="E39" i="34"/>
  <c r="G39" i="32" l="1"/>
  <c r="D39" i="30" s="1"/>
  <c r="G38" i="31"/>
  <c r="C38" i="30" s="1"/>
  <c r="E39" i="31"/>
  <c r="E55" i="29" s="1"/>
  <c r="C24" i="28" s="1"/>
  <c r="G39" i="33"/>
  <c r="E39" i="30" s="1"/>
  <c r="E40" i="33"/>
  <c r="E40" i="32"/>
  <c r="E40" i="34"/>
  <c r="G40" i="34" s="1"/>
  <c r="F40" i="30" s="1"/>
  <c r="G39" i="34"/>
  <c r="F39" i="30" s="1"/>
  <c r="G40" i="32" l="1"/>
  <c r="D40" i="30" s="1"/>
  <c r="G40" i="33"/>
  <c r="E40" i="30" s="1"/>
  <c r="E41" i="33"/>
  <c r="E41" i="32"/>
  <c r="E41" i="34"/>
  <c r="G39" i="31"/>
  <c r="C39" i="30" s="1"/>
  <c r="E40" i="31"/>
  <c r="E56" i="29" s="1"/>
  <c r="G41" i="33" l="1"/>
  <c r="E41" i="30" s="1"/>
  <c r="E14" i="42"/>
  <c r="G41" i="34"/>
  <c r="F41" i="30" s="1"/>
  <c r="E41" i="31"/>
  <c r="E57" i="29" s="1"/>
  <c r="E15" i="42"/>
  <c r="G15" i="4" s="1"/>
  <c r="E15" i="43"/>
  <c r="G15" i="5" s="1"/>
  <c r="E15" i="44"/>
  <c r="G15" i="6" s="1"/>
  <c r="E14" i="44"/>
  <c r="G41" i="32"/>
  <c r="D41" i="30" s="1"/>
  <c r="E42" i="32"/>
  <c r="E42" i="34"/>
  <c r="E42" i="33"/>
  <c r="E14" i="43"/>
  <c r="G40" i="31"/>
  <c r="C40" i="30" s="1"/>
  <c r="G41" i="31" l="1"/>
  <c r="C41" i="30" s="1"/>
  <c r="G42" i="34"/>
  <c r="F42" i="30" s="1"/>
  <c r="G42" i="32"/>
  <c r="D42" i="30" s="1"/>
  <c r="G42" i="33"/>
  <c r="E42" i="30" s="1"/>
  <c r="E15" i="41"/>
  <c r="G15" i="3" s="1"/>
  <c r="G14" i="5"/>
  <c r="E14" i="41"/>
  <c r="E43" i="33"/>
  <c r="E43" i="32"/>
  <c r="E43" i="34"/>
  <c r="E42" i="31"/>
  <c r="E58" i="29" s="1"/>
  <c r="G14" i="6"/>
  <c r="E16" i="42"/>
  <c r="G16" i="4" s="1"/>
  <c r="E16" i="44"/>
  <c r="G16" i="6" s="1"/>
  <c r="G14" i="4"/>
  <c r="E44" i="33" l="1"/>
  <c r="E44" i="32"/>
  <c r="E44" i="34"/>
  <c r="G43" i="33"/>
  <c r="E43" i="30" s="1"/>
  <c r="E16" i="43"/>
  <c r="G43" i="32"/>
  <c r="D43" i="30" s="1"/>
  <c r="G14" i="3"/>
  <c r="E17" i="42"/>
  <c r="E17" i="44"/>
  <c r="G17" i="6" s="1"/>
  <c r="E17" i="43"/>
  <c r="G17" i="5" s="1"/>
  <c r="G42" i="31"/>
  <c r="C42" i="30" s="1"/>
  <c r="G43" i="34"/>
  <c r="F43" i="30" s="1"/>
  <c r="E43" i="31"/>
  <c r="E59" i="29" s="1"/>
  <c r="G44" i="33" l="1"/>
  <c r="E44" i="30" s="1"/>
  <c r="E17" i="41"/>
  <c r="G17" i="3" s="1"/>
  <c r="E18" i="44"/>
  <c r="G18" i="6" s="1"/>
  <c r="E18" i="43"/>
  <c r="G18" i="5" s="1"/>
  <c r="G43" i="31"/>
  <c r="C43" i="30" s="1"/>
  <c r="G44" i="32"/>
  <c r="D44" i="30" s="1"/>
  <c r="E45" i="34"/>
  <c r="E45" i="33"/>
  <c r="E45" i="32"/>
  <c r="G17" i="4"/>
  <c r="E16" i="41"/>
  <c r="E44" i="31"/>
  <c r="E60" i="29" s="1"/>
  <c r="G16" i="5"/>
  <c r="G44" i="34"/>
  <c r="F44" i="30" s="1"/>
  <c r="G45" i="32" l="1"/>
  <c r="D45" i="30" s="1"/>
  <c r="G45" i="33"/>
  <c r="E45" i="30" s="1"/>
  <c r="G44" i="31"/>
  <c r="C44" i="30" s="1"/>
  <c r="G45" i="34"/>
  <c r="F45" i="30" s="1"/>
  <c r="E19" i="42"/>
  <c r="G19" i="4" s="1"/>
  <c r="E19" i="43"/>
  <c r="E46" i="32"/>
  <c r="E46" i="34"/>
  <c r="E46" i="33"/>
  <c r="E45" i="31"/>
  <c r="E61" i="29" s="1"/>
  <c r="G16" i="3"/>
  <c r="E18" i="42"/>
  <c r="G46" i="33" l="1"/>
  <c r="E46" i="30" s="1"/>
  <c r="G46" i="32"/>
  <c r="D46" i="30" s="1"/>
  <c r="E19" i="44"/>
  <c r="E47" i="33"/>
  <c r="E47" i="34"/>
  <c r="E47" i="32"/>
  <c r="E46" i="31"/>
  <c r="E62" i="29" s="1"/>
  <c r="E18" i="41"/>
  <c r="G18" i="4"/>
  <c r="G46" i="34"/>
  <c r="F46" i="30" s="1"/>
  <c r="E20" i="44"/>
  <c r="G20" i="6" s="1"/>
  <c r="G19" i="5"/>
  <c r="E19" i="41"/>
  <c r="G19" i="3" s="1"/>
  <c r="G45" i="31"/>
  <c r="C45" i="30" s="1"/>
  <c r="G47" i="32" l="1"/>
  <c r="D47" i="30" s="1"/>
  <c r="G46" i="31"/>
  <c r="C46" i="30" s="1"/>
  <c r="E21" i="43"/>
  <c r="G21" i="5" s="1"/>
  <c r="E21" i="42"/>
  <c r="G21" i="4" s="1"/>
  <c r="E21" i="44"/>
  <c r="G21" i="6" s="1"/>
  <c r="G18" i="3"/>
  <c r="E20" i="42"/>
  <c r="E47" i="31"/>
  <c r="E63" i="29" s="1"/>
  <c r="E20" i="43"/>
  <c r="E20" i="41"/>
  <c r="G20" i="3" s="1"/>
  <c r="E48" i="33"/>
  <c r="E48" i="32"/>
  <c r="E48" i="34"/>
  <c r="G47" i="34"/>
  <c r="F47" i="30" s="1"/>
  <c r="G47" i="33"/>
  <c r="E47" i="30" s="1"/>
  <c r="G19" i="6"/>
  <c r="G48" i="33" l="1"/>
  <c r="E48" i="30" s="1"/>
  <c r="G48" i="34"/>
  <c r="F48" i="30" s="1"/>
  <c r="G47" i="31"/>
  <c r="C47" i="30" s="1"/>
  <c r="G20" i="4"/>
  <c r="E49" i="33"/>
  <c r="E49" i="34"/>
  <c r="E49" i="32"/>
  <c r="G48" i="32"/>
  <c r="D48" i="30" s="1"/>
  <c r="E48" i="31"/>
  <c r="E64" i="29" s="1"/>
  <c r="C25" i="28" s="1"/>
  <c r="E22" i="43"/>
  <c r="G22" i="5" s="1"/>
  <c r="E22" i="42"/>
  <c r="G22" i="4" s="1"/>
  <c r="G20" i="5"/>
  <c r="G49" i="34" l="1"/>
  <c r="F49" i="30" s="1"/>
  <c r="G49" i="32"/>
  <c r="D49" i="30" s="1"/>
  <c r="E50" i="32"/>
  <c r="E50" i="33"/>
  <c r="E50" i="34"/>
  <c r="G48" i="31"/>
  <c r="C48" i="30" s="1"/>
  <c r="G49" i="33"/>
  <c r="E49" i="30" s="1"/>
  <c r="E22" i="44"/>
  <c r="E22" i="41"/>
  <c r="G22" i="3" s="1"/>
  <c r="E49" i="31"/>
  <c r="E65" i="29" s="1"/>
  <c r="E21" i="41"/>
  <c r="O22" i="44" l="1"/>
  <c r="G50" i="33"/>
  <c r="E50" i="30" s="1"/>
  <c r="G50" i="32"/>
  <c r="D50" i="30" s="1"/>
  <c r="G49" i="31"/>
  <c r="C49" i="30" s="1"/>
  <c r="G22" i="6"/>
  <c r="G21" i="3"/>
  <c r="E50" i="31"/>
  <c r="E66" i="29" s="1"/>
  <c r="G50" i="34"/>
  <c r="F50" i="30" s="1"/>
  <c r="E23" i="43" l="1"/>
  <c r="C26" i="43"/>
  <c r="C26" i="44"/>
  <c r="E23" i="41"/>
  <c r="C26" i="41"/>
  <c r="G50" i="31"/>
  <c r="C50" i="30" s="1"/>
  <c r="E23" i="42"/>
  <c r="C26" i="42"/>
  <c r="E51" i="34" l="1"/>
  <c r="E51" i="31"/>
  <c r="E54" i="31" s="1"/>
  <c r="G54" i="31" s="1"/>
  <c r="E51" i="32"/>
  <c r="E54" i="32" s="1"/>
  <c r="G23" i="4"/>
  <c r="G26" i="4" s="1"/>
  <c r="E26" i="42"/>
  <c r="G23" i="6"/>
  <c r="E26" i="44"/>
  <c r="E51" i="33"/>
  <c r="E54" i="33" s="1"/>
  <c r="G54" i="33" s="1"/>
  <c r="G23" i="3"/>
  <c r="E26" i="41"/>
  <c r="G23" i="5"/>
  <c r="E26" i="43"/>
  <c r="E54" i="34" l="1"/>
  <c r="G54" i="34" s="1"/>
  <c r="G51" i="34"/>
  <c r="G51" i="32"/>
  <c r="D51" i="30" s="1"/>
  <c r="D53" i="30" s="1"/>
  <c r="E67" i="29"/>
  <c r="G26" i="3"/>
  <c r="G26" i="5"/>
  <c r="G26" i="6"/>
  <c r="G51" i="33"/>
  <c r="E51" i="30" s="1"/>
  <c r="E53" i="30" s="1"/>
  <c r="G51" i="31"/>
  <c r="C51" i="30" s="1"/>
  <c r="C53" i="30" s="1"/>
  <c r="G54" i="32"/>
  <c r="F51" i="30"/>
  <c r="F53" i="30" s="1"/>
  <c r="C26" i="28" l="1"/>
  <c r="E70" i="29"/>
  <c r="E16" i="28" l="1"/>
  <c r="C14" i="2" l="1"/>
  <c r="C16" i="2" l="1"/>
  <c r="C15" i="2"/>
  <c r="C17" i="2"/>
  <c r="C59" i="30"/>
  <c r="E59" i="30" l="1"/>
  <c r="D59" i="30"/>
  <c r="C19" i="2"/>
  <c r="D14" i="2" s="1"/>
  <c r="F59" i="30"/>
  <c r="D15" i="2" l="1"/>
  <c r="D17" i="2"/>
  <c r="D16" i="2"/>
  <c r="G59" i="30"/>
  <c r="D19" i="2" l="1"/>
  <c r="E60" i="30"/>
  <c r="C60" i="30"/>
  <c r="F60" i="30"/>
  <c r="D60" i="30"/>
  <c r="G60" i="30" l="1"/>
  <c r="G14" i="30" s="1"/>
  <c r="G19" i="30"/>
  <c r="H19" i="30" s="1"/>
  <c r="G35" i="29" s="1"/>
  <c r="G25" i="30"/>
  <c r="H25" i="30" s="1"/>
  <c r="G41" i="29" s="1"/>
  <c r="G24" i="30"/>
  <c r="H24" i="30" s="1"/>
  <c r="G40" i="29" s="1"/>
  <c r="G30" i="30"/>
  <c r="H30" i="30" s="1"/>
  <c r="G46" i="29" s="1"/>
  <c r="E20" i="28" s="1"/>
  <c r="G31" i="30"/>
  <c r="H31" i="30" s="1"/>
  <c r="G47" i="29" s="1"/>
  <c r="G36" i="30"/>
  <c r="H36" i="30" s="1"/>
  <c r="G52" i="29" s="1"/>
  <c r="E22" i="28" s="1"/>
  <c r="G37" i="30"/>
  <c r="H37" i="30" s="1"/>
  <c r="G53" i="29" s="1"/>
  <c r="G41" i="30"/>
  <c r="H41" i="30" s="1"/>
  <c r="G57" i="29" s="1"/>
  <c r="G40" i="30"/>
  <c r="H40" i="30" s="1"/>
  <c r="G56" i="29" s="1"/>
  <c r="G46" i="30"/>
  <c r="H46" i="30" s="1"/>
  <c r="G62" i="29" s="1"/>
  <c r="G47" i="30"/>
  <c r="H47" i="30" s="1"/>
  <c r="G63" i="29" s="1"/>
  <c r="G48" i="30"/>
  <c r="H48" i="30" s="1"/>
  <c r="G64" i="29" s="1"/>
  <c r="E25" i="28" s="1"/>
  <c r="G49" i="30"/>
  <c r="H49" i="30" s="1"/>
  <c r="G65" i="29" s="1"/>
  <c r="G45" i="30" l="1"/>
  <c r="H45" i="30" s="1"/>
  <c r="G61" i="29" s="1"/>
  <c r="G39" i="30"/>
  <c r="H39" i="30" s="1"/>
  <c r="G55" i="29" s="1"/>
  <c r="E24" i="28" s="1"/>
  <c r="G33" i="30"/>
  <c r="H33" i="30" s="1"/>
  <c r="G49" i="29" s="1"/>
  <c r="G29" i="30"/>
  <c r="H29" i="30" s="1"/>
  <c r="G45" i="29" s="1"/>
  <c r="G22" i="30"/>
  <c r="H22" i="30" s="1"/>
  <c r="G38" i="29" s="1"/>
  <c r="G44" i="30"/>
  <c r="H44" i="30" s="1"/>
  <c r="G60" i="29" s="1"/>
  <c r="G38" i="30"/>
  <c r="H38" i="30" s="1"/>
  <c r="G54" i="29" s="1"/>
  <c r="E23" i="28" s="1"/>
  <c r="G32" i="30"/>
  <c r="H32" i="30" s="1"/>
  <c r="G48" i="29" s="1"/>
  <c r="G28" i="30"/>
  <c r="H28" i="30" s="1"/>
  <c r="G44" i="29" s="1"/>
  <c r="G23" i="30"/>
  <c r="H23" i="30" s="1"/>
  <c r="G39" i="29" s="1"/>
  <c r="G16" i="30"/>
  <c r="H16" i="30" s="1"/>
  <c r="G32" i="29" s="1"/>
  <c r="G20" i="30"/>
  <c r="H20" i="30" s="1"/>
  <c r="G36" i="29" s="1"/>
  <c r="E19" i="28" s="1"/>
  <c r="G21" i="30"/>
  <c r="H21" i="30" s="1"/>
  <c r="G37" i="29" s="1"/>
  <c r="G51" i="30"/>
  <c r="H51" i="30" s="1"/>
  <c r="G67" i="29" s="1"/>
  <c r="E26" i="28" s="1"/>
  <c r="G43" i="30"/>
  <c r="H43" i="30" s="1"/>
  <c r="G59" i="29" s="1"/>
  <c r="G35" i="30"/>
  <c r="H35" i="30" s="1"/>
  <c r="G51" i="29" s="1"/>
  <c r="G27" i="30"/>
  <c r="H27" i="30" s="1"/>
  <c r="G43" i="29" s="1"/>
  <c r="G50" i="30"/>
  <c r="H50" i="30" s="1"/>
  <c r="G66" i="29" s="1"/>
  <c r="G42" i="30"/>
  <c r="H42" i="30" s="1"/>
  <c r="G58" i="29" s="1"/>
  <c r="G34" i="30"/>
  <c r="H34" i="30" s="1"/>
  <c r="G50" i="29" s="1"/>
  <c r="E21" i="28" s="1"/>
  <c r="G26" i="30"/>
  <c r="H26" i="30" s="1"/>
  <c r="G42" i="29" s="1"/>
  <c r="G15" i="30"/>
  <c r="H15" i="30" s="1"/>
  <c r="G31" i="29" s="1"/>
  <c r="G52" i="30"/>
  <c r="H52" i="30" s="1"/>
  <c r="G68" i="29" s="1"/>
  <c r="E27" i="28" s="1"/>
  <c r="G18" i="30"/>
  <c r="H18" i="30" s="1"/>
  <c r="G34" i="29" s="1"/>
  <c r="G17" i="30"/>
  <c r="H17" i="30" s="1"/>
  <c r="G33" i="29" s="1"/>
  <c r="E18" i="28" s="1"/>
  <c r="H14" i="30"/>
  <c r="G71" i="29" l="1"/>
  <c r="G72" i="29" s="1"/>
  <c r="E31" i="28" s="1"/>
  <c r="F22" i="28" s="1"/>
  <c r="G53" i="30"/>
  <c r="G30" i="29"/>
  <c r="G70" i="29" s="1"/>
  <c r="H53" i="30"/>
  <c r="F27" i="28" l="1"/>
  <c r="F26" i="28"/>
  <c r="F21" i="28"/>
  <c r="F20" i="28"/>
  <c r="F14" i="28"/>
  <c r="F23" i="28"/>
  <c r="F25" i="28"/>
  <c r="F16" i="28"/>
  <c r="F15" i="28"/>
  <c r="F24" i="28"/>
  <c r="F18" i="28"/>
  <c r="F19" i="28"/>
  <c r="F13" i="28"/>
  <c r="E17" i="28"/>
  <c r="E29" i="28" l="1"/>
  <c r="F17" i="28"/>
  <c r="F29" i="28" l="1"/>
  <c r="E33" i="28" s="1"/>
  <c r="E34" i="28" l="1"/>
  <c r="E42" i="28" s="1"/>
  <c r="E43" i="28" s="1"/>
  <c r="C14" i="27" l="1"/>
  <c r="E14" i="27" s="1"/>
  <c r="J18" i="58"/>
  <c r="D24" i="58" s="1"/>
  <c r="E24" i="58" s="1"/>
  <c r="F24" i="58" s="1"/>
  <c r="C19" i="1" l="1"/>
  <c r="C15" i="1" s="1"/>
  <c r="D13" i="58"/>
  <c r="D15" i="58" s="1"/>
  <c r="D18" i="58"/>
  <c r="D20" i="58" s="1"/>
  <c r="D22" i="58" l="1"/>
  <c r="F22" i="58" l="1"/>
  <c r="E22" i="58"/>
  <c r="E10" i="58" l="1"/>
  <c r="F10" i="58"/>
  <c r="B44" i="58" l="1"/>
  <c r="C18" i="58" l="1"/>
  <c r="B38" i="58"/>
  <c r="B41" i="58"/>
  <c r="B42" i="58"/>
  <c r="B47" i="58"/>
  <c r="B53" i="46"/>
  <c r="J29" i="58"/>
  <c r="L29" i="58" l="1"/>
  <c r="J33" i="58" s="1"/>
  <c r="B30" i="58"/>
  <c r="B46" i="58" l="1"/>
  <c r="B45" i="58" l="1"/>
  <c r="C41" i="48" l="1"/>
  <c r="D41" i="48"/>
  <c r="D24" i="48"/>
  <c r="D25" i="48"/>
  <c r="D26" i="48"/>
  <c r="D27" i="48"/>
  <c r="D28" i="48"/>
  <c r="D29" i="48"/>
  <c r="D30" i="48"/>
  <c r="D31" i="48"/>
  <c r="D32" i="48"/>
  <c r="D33" i="48"/>
  <c r="D34" i="48"/>
  <c r="D35" i="48"/>
  <c r="D36" i="48"/>
  <c r="D37" i="48"/>
  <c r="D38" i="48"/>
  <c r="D39" i="48"/>
  <c r="D40" i="48"/>
  <c r="D23" i="48"/>
  <c r="C24" i="48"/>
  <c r="C25" i="48"/>
  <c r="C26" i="48"/>
  <c r="C27" i="48"/>
  <c r="C28" i="48"/>
  <c r="C29" i="48"/>
  <c r="C30" i="48"/>
  <c r="C31" i="48"/>
  <c r="C32" i="48"/>
  <c r="C33" i="48"/>
  <c r="C34" i="48"/>
  <c r="C35" i="48"/>
  <c r="C36" i="48"/>
  <c r="C37" i="48"/>
  <c r="C38" i="48"/>
  <c r="C39" i="48"/>
  <c r="C40" i="48"/>
  <c r="C23" i="48"/>
  <c r="E39" i="48" l="1"/>
  <c r="G39" i="48" s="1"/>
  <c r="M39" i="48" s="1"/>
  <c r="E35" i="48"/>
  <c r="G35" i="48" s="1"/>
  <c r="M35" i="48" s="1"/>
  <c r="E31" i="48"/>
  <c r="G31" i="48" s="1"/>
  <c r="M31" i="48" s="1"/>
  <c r="E27" i="48"/>
  <c r="G27" i="48" s="1"/>
  <c r="M27" i="48" s="1"/>
  <c r="E40" i="48"/>
  <c r="G40" i="48" s="1"/>
  <c r="M40" i="48" s="1"/>
  <c r="E36" i="48"/>
  <c r="G36" i="48" s="1"/>
  <c r="M36" i="48" s="1"/>
  <c r="E32" i="48"/>
  <c r="G32" i="48" s="1"/>
  <c r="M32" i="48" s="1"/>
  <c r="E28" i="48"/>
  <c r="G28" i="48" s="1"/>
  <c r="M28" i="48" s="1"/>
  <c r="E24" i="48"/>
  <c r="G24" i="48" s="1"/>
  <c r="M24" i="48" s="1"/>
  <c r="E38" i="48"/>
  <c r="G38" i="48" s="1"/>
  <c r="M38" i="48" s="1"/>
  <c r="E37" i="48"/>
  <c r="G37" i="48" s="1"/>
  <c r="M37" i="48" s="1"/>
  <c r="E29" i="48"/>
  <c r="G29" i="48" s="1"/>
  <c r="M29" i="48" s="1"/>
  <c r="E30" i="48"/>
  <c r="G30" i="48" s="1"/>
  <c r="M30" i="48" s="1"/>
  <c r="E41" i="48"/>
  <c r="G41" i="48" s="1"/>
  <c r="M41" i="48" s="1"/>
  <c r="E34" i="48"/>
  <c r="G34" i="48" s="1"/>
  <c r="M34" i="48" s="1"/>
  <c r="E26" i="48"/>
  <c r="G26" i="48" s="1"/>
  <c r="M26" i="48" s="1"/>
  <c r="D43" i="48"/>
  <c r="E23" i="48"/>
  <c r="C43" i="48"/>
  <c r="E33" i="48"/>
  <c r="G33" i="48" s="1"/>
  <c r="M33" i="48" s="1"/>
  <c r="E25" i="48"/>
  <c r="G25" i="48" s="1"/>
  <c r="M25" i="48" s="1"/>
  <c r="E43" i="48" l="1"/>
  <c r="G23" i="48"/>
  <c r="E16" i="17"/>
  <c r="F16" i="17" s="1"/>
  <c r="E20" i="17"/>
  <c r="F20" i="17" s="1"/>
  <c r="E24" i="17"/>
  <c r="F24" i="17" s="1"/>
  <c r="E28" i="17"/>
  <c r="F28" i="17" s="1"/>
  <c r="E32" i="17"/>
  <c r="F32" i="17" s="1"/>
  <c r="E40" i="17"/>
  <c r="F40" i="17" s="1"/>
  <c r="G16" i="17" l="1"/>
  <c r="G20" i="17"/>
  <c r="G24" i="17"/>
  <c r="H43" i="17"/>
  <c r="G40" i="17"/>
  <c r="G32" i="17"/>
  <c r="M23" i="48"/>
  <c r="G43" i="48"/>
  <c r="G28" i="17"/>
  <c r="E26" i="17" l="1"/>
  <c r="F26" i="17" s="1"/>
  <c r="E21" i="17"/>
  <c r="F21" i="17" s="1"/>
  <c r="E39" i="17"/>
  <c r="F39" i="17" s="1"/>
  <c r="E17" i="17"/>
  <c r="F17" i="17" s="1"/>
  <c r="E29" i="17"/>
  <c r="F29" i="17" s="1"/>
  <c r="E38" i="17"/>
  <c r="F38" i="17" s="1"/>
  <c r="E37" i="17"/>
  <c r="F37" i="17" s="1"/>
  <c r="E19" i="17"/>
  <c r="F19" i="17" s="1"/>
  <c r="E18" i="17"/>
  <c r="F18" i="17" s="1"/>
  <c r="E25" i="17"/>
  <c r="F25" i="17" s="1"/>
  <c r="E27" i="17"/>
  <c r="F27" i="17" s="1"/>
  <c r="E31" i="17"/>
  <c r="F31" i="17" s="1"/>
  <c r="E23" i="17"/>
  <c r="F23" i="17" s="1"/>
  <c r="E15" i="17"/>
  <c r="F15" i="17" s="1"/>
  <c r="E30" i="17"/>
  <c r="F30" i="17" s="1"/>
  <c r="E22" i="17"/>
  <c r="F22" i="17" s="1"/>
  <c r="E14" i="17"/>
  <c r="F14" i="17" s="1"/>
  <c r="H40" i="17" l="1"/>
  <c r="G37" i="17"/>
  <c r="G31" i="17"/>
  <c r="C17" i="15" s="1"/>
  <c r="C34" i="15" s="1"/>
  <c r="H41" i="17"/>
  <c r="G38" i="17"/>
  <c r="H30" i="17"/>
  <c r="G27" i="17"/>
  <c r="C16" i="15" s="1"/>
  <c r="C33" i="15" s="1"/>
  <c r="G17" i="17"/>
  <c r="H20" i="17"/>
  <c r="H19" i="17"/>
  <c r="H18" i="17"/>
  <c r="G15" i="17"/>
  <c r="H32" i="17"/>
  <c r="G29" i="17"/>
  <c r="H31" i="17"/>
  <c r="G25" i="17"/>
  <c r="H28" i="17"/>
  <c r="H27" i="17"/>
  <c r="G39" i="17"/>
  <c r="C19" i="15" s="1"/>
  <c r="C36" i="15" s="1"/>
  <c r="H42" i="17"/>
  <c r="H17" i="17"/>
  <c r="G14" i="17"/>
  <c r="G18" i="17"/>
  <c r="H21" i="17"/>
  <c r="H24" i="17"/>
  <c r="G21" i="17"/>
  <c r="H23" i="17"/>
  <c r="G30" i="17"/>
  <c r="G23" i="17"/>
  <c r="C15" i="15" s="1"/>
  <c r="C32" i="15" s="1"/>
  <c r="H26" i="17"/>
  <c r="H25" i="17"/>
  <c r="G22" i="17"/>
  <c r="H22" i="17"/>
  <c r="G19" i="17"/>
  <c r="C14" i="15" s="1"/>
  <c r="C31" i="15" s="1"/>
  <c r="C30" i="15" s="1"/>
  <c r="G26" i="17"/>
  <c r="H29" i="17"/>
  <c r="E36" i="17"/>
  <c r="F36" i="17" s="1"/>
  <c r="L44" i="17" l="1"/>
  <c r="L41" i="17"/>
  <c r="L48" i="17"/>
  <c r="L52" i="17"/>
  <c r="L49" i="17"/>
  <c r="L42" i="17"/>
  <c r="L46" i="17"/>
  <c r="L51" i="17"/>
  <c r="L50" i="17"/>
  <c r="L47" i="17"/>
  <c r="L45" i="17"/>
  <c r="L56" i="17"/>
  <c r="L43" i="17"/>
  <c r="H39" i="17"/>
  <c r="G36" i="17"/>
  <c r="E35" i="17"/>
  <c r="F35" i="17" s="1"/>
  <c r="E34" i="17"/>
  <c r="F34" i="17" s="1"/>
  <c r="E33" i="17"/>
  <c r="F33" i="17" s="1"/>
  <c r="H38" i="17" l="1"/>
  <c r="G35" i="17"/>
  <c r="C18" i="15" s="1"/>
  <c r="C35" i="15" s="1"/>
  <c r="H36" i="17"/>
  <c r="G33" i="17"/>
  <c r="H35" i="17"/>
  <c r="H33" i="17"/>
  <c r="H34" i="17"/>
  <c r="G34" i="17"/>
  <c r="H37" i="17"/>
  <c r="L55" i="17"/>
  <c r="J33" i="17" l="1"/>
  <c r="J49" i="17"/>
  <c r="J44" i="17"/>
  <c r="J47" i="17"/>
  <c r="J48" i="17"/>
  <c r="J40" i="17"/>
  <c r="J38" i="17"/>
  <c r="J34" i="17"/>
  <c r="J43" i="17"/>
  <c r="J46" i="17"/>
  <c r="J37" i="17"/>
  <c r="J36" i="17"/>
  <c r="J35" i="17"/>
  <c r="J51" i="17"/>
  <c r="J56" i="17"/>
  <c r="J42" i="17"/>
  <c r="J41" i="17"/>
  <c r="J52" i="17"/>
  <c r="J50" i="17"/>
  <c r="J45" i="17"/>
  <c r="J39" i="17"/>
  <c r="I44" i="17"/>
  <c r="I40" i="17"/>
  <c r="I19" i="17"/>
  <c r="I26" i="17"/>
  <c r="I27" i="17"/>
  <c r="I31" i="17"/>
  <c r="I22" i="17"/>
  <c r="I49" i="17"/>
  <c r="I45" i="17"/>
  <c r="I28" i="17"/>
  <c r="I30" i="17"/>
  <c r="I23" i="17"/>
  <c r="I21" i="17"/>
  <c r="I43" i="17"/>
  <c r="I38" i="17"/>
  <c r="I20" i="17"/>
  <c r="I48" i="17"/>
  <c r="I36" i="17"/>
  <c r="I29" i="17"/>
  <c r="I35" i="17"/>
  <c r="I47" i="17"/>
  <c r="I34" i="17"/>
  <c r="I24" i="17"/>
  <c r="I51" i="17"/>
  <c r="I42" i="17"/>
  <c r="I52" i="17"/>
  <c r="I46" i="17"/>
  <c r="I32" i="17"/>
  <c r="I17" i="17"/>
  <c r="I39" i="17"/>
  <c r="I50" i="17"/>
  <c r="I37" i="17"/>
  <c r="I41" i="17"/>
  <c r="I33" i="17"/>
  <c r="I18" i="17"/>
  <c r="I56" i="17"/>
  <c r="I25" i="17"/>
  <c r="K41" i="17"/>
  <c r="K46" i="17"/>
  <c r="K37" i="17"/>
  <c r="K43" i="17"/>
  <c r="K45" i="17"/>
  <c r="K50" i="17"/>
  <c r="K51" i="17"/>
  <c r="K49" i="17"/>
  <c r="K47" i="17"/>
  <c r="K44" i="17"/>
  <c r="K48" i="17"/>
  <c r="K56" i="17"/>
  <c r="K40" i="17"/>
  <c r="K42" i="17"/>
  <c r="K39" i="17"/>
  <c r="K38" i="17"/>
  <c r="K52" i="17"/>
  <c r="I55" i="17" l="1"/>
  <c r="K55" i="17"/>
  <c r="J55" i="17"/>
  <c r="L58" i="17" s="1"/>
  <c r="I18" i="15" s="1"/>
  <c r="E37" i="15" l="1"/>
  <c r="G37" i="15" s="1"/>
  <c r="E21" i="3" s="1"/>
  <c r="E36" i="15"/>
  <c r="G36" i="15" s="1"/>
  <c r="E20" i="3" s="1"/>
  <c r="E35" i="15"/>
  <c r="G35" i="15" s="1"/>
  <c r="E38" i="15"/>
  <c r="G38" i="15" s="1"/>
  <c r="E34" i="15"/>
  <c r="G34" i="15" s="1"/>
  <c r="E18" i="3" s="1"/>
  <c r="E30" i="15"/>
  <c r="E32" i="15"/>
  <c r="G32" i="15" s="1"/>
  <c r="E16" i="3" s="1"/>
  <c r="E31" i="15"/>
  <c r="G31" i="15" s="1"/>
  <c r="E39" i="15"/>
  <c r="G39" i="15" s="1"/>
  <c r="E33" i="15"/>
  <c r="G33" i="15" s="1"/>
  <c r="E17" i="3" s="1"/>
  <c r="E19" i="3" l="1"/>
  <c r="H25" i="28"/>
  <c r="E22" i="3"/>
  <c r="H26" i="28"/>
  <c r="G30" i="15"/>
  <c r="E14" i="3" s="1"/>
  <c r="E15" i="3"/>
  <c r="H22" i="28"/>
  <c r="H21" i="28"/>
  <c r="E23" i="3"/>
  <c r="H27" i="28"/>
  <c r="E16" i="4"/>
  <c r="F16" i="4" s="1"/>
  <c r="H16" i="4" s="1"/>
  <c r="E16" i="6"/>
  <c r="F16" i="6" s="1"/>
  <c r="H16" i="6" s="1"/>
  <c r="E16" i="5"/>
  <c r="F16" i="5" s="1"/>
  <c r="H16" i="5" s="1"/>
  <c r="F16" i="3"/>
  <c r="H16" i="3" s="1"/>
  <c r="E18" i="6"/>
  <c r="F18" i="6" s="1"/>
  <c r="H18" i="6" s="1"/>
  <c r="F18" i="3"/>
  <c r="H18" i="3" s="1"/>
  <c r="E18" i="5"/>
  <c r="F18" i="5" s="1"/>
  <c r="H18" i="5" s="1"/>
  <c r="E18" i="4"/>
  <c r="F18" i="4" s="1"/>
  <c r="H18" i="4" s="1"/>
  <c r="E22" i="6"/>
  <c r="F22" i="6" s="1"/>
  <c r="H22" i="6" s="1"/>
  <c r="F22" i="3"/>
  <c r="H22" i="3" s="1"/>
  <c r="E22" i="4"/>
  <c r="F22" i="4" s="1"/>
  <c r="H22" i="4" s="1"/>
  <c r="E22" i="5"/>
  <c r="F22" i="5" s="1"/>
  <c r="H22" i="5" s="1"/>
  <c r="E15" i="6"/>
  <c r="F15" i="6" s="1"/>
  <c r="H15" i="6" s="1"/>
  <c r="F15" i="3"/>
  <c r="H15" i="3" s="1"/>
  <c r="E15" i="5"/>
  <c r="F15" i="5" s="1"/>
  <c r="H15" i="5" s="1"/>
  <c r="E15" i="4"/>
  <c r="F15" i="4" s="1"/>
  <c r="H15" i="4" s="1"/>
  <c r="E19" i="4"/>
  <c r="F19" i="4" s="1"/>
  <c r="H19" i="4" s="1"/>
  <c r="E19" i="5"/>
  <c r="F19" i="5" s="1"/>
  <c r="H19" i="5" s="1"/>
  <c r="F19" i="3"/>
  <c r="H19" i="3" s="1"/>
  <c r="E19" i="6"/>
  <c r="F19" i="6" s="1"/>
  <c r="H19" i="6" s="1"/>
  <c r="F17" i="3"/>
  <c r="H17" i="3" s="1"/>
  <c r="E17" i="6"/>
  <c r="F17" i="6" s="1"/>
  <c r="H17" i="6" s="1"/>
  <c r="E17" i="4"/>
  <c r="F17" i="4" s="1"/>
  <c r="H17" i="4" s="1"/>
  <c r="E17" i="5"/>
  <c r="F17" i="5" s="1"/>
  <c r="H17" i="5" s="1"/>
  <c r="E20" i="4"/>
  <c r="F20" i="4" s="1"/>
  <c r="H20" i="4" s="1"/>
  <c r="E20" i="5"/>
  <c r="F20" i="5" s="1"/>
  <c r="H20" i="5" s="1"/>
  <c r="E20" i="6"/>
  <c r="F20" i="6" s="1"/>
  <c r="H20" i="6" s="1"/>
  <c r="F20" i="3"/>
  <c r="H20" i="3" s="1"/>
  <c r="E23" i="5"/>
  <c r="F23" i="5" s="1"/>
  <c r="H23" i="5" s="1"/>
  <c r="F23" i="3"/>
  <c r="H23" i="3" s="1"/>
  <c r="E23" i="6"/>
  <c r="F23" i="6" s="1"/>
  <c r="H23" i="6" s="1"/>
  <c r="E23" i="4"/>
  <c r="F23" i="4" s="1"/>
  <c r="H23" i="4" s="1"/>
  <c r="F21" i="3"/>
  <c r="H21" i="3" s="1"/>
  <c r="E21" i="4"/>
  <c r="F21" i="4" s="1"/>
  <c r="H21" i="4" s="1"/>
  <c r="E21" i="6"/>
  <c r="F21" i="6" s="1"/>
  <c r="H21" i="6" s="1"/>
  <c r="E21" i="5"/>
  <c r="F21" i="5" s="1"/>
  <c r="H21" i="5" s="1"/>
  <c r="F14" i="3" l="1"/>
  <c r="E14" i="5"/>
  <c r="F14" i="5" s="1"/>
  <c r="E14" i="6"/>
  <c r="F14" i="6" s="1"/>
  <c r="F26" i="6" s="1"/>
  <c r="H26" i="6" s="1"/>
  <c r="E17" i="2" s="1"/>
  <c r="E14" i="4"/>
  <c r="F14" i="4" s="1"/>
  <c r="F26" i="4" s="1"/>
  <c r="H26" i="4" s="1"/>
  <c r="E15" i="2" s="1"/>
  <c r="H23" i="28"/>
  <c r="H24" i="28"/>
  <c r="F26" i="3"/>
  <c r="E14" i="2" s="1"/>
  <c r="H14" i="3"/>
  <c r="F26" i="5"/>
  <c r="H26" i="5" s="1"/>
  <c r="E16" i="2" s="1"/>
  <c r="H14" i="5"/>
  <c r="H14" i="6" l="1"/>
  <c r="H14" i="4"/>
  <c r="E19" i="2"/>
  <c r="D19" i="1" s="1"/>
  <c r="D15" i="1" s="1"/>
  <c r="D22" i="1" l="1"/>
  <c r="J14" i="58"/>
  <c r="L14" i="58" s="1"/>
  <c r="J20" i="58" s="1"/>
  <c r="B40" i="58" l="1"/>
  <c r="B39" i="58"/>
  <c r="B43" i="58" l="1"/>
  <c r="D26" i="58"/>
  <c r="D28" i="58" s="1"/>
  <c r="E26" i="58"/>
  <c r="E28" i="58" s="1"/>
  <c r="F26" i="58"/>
  <c r="F28" i="58" s="1"/>
  <c r="B33" i="35"/>
  <c r="B33" i="65" l="1"/>
  <c r="B33" i="66"/>
  <c r="B33" i="37"/>
  <c r="F30" i="58" l="1"/>
  <c r="F32" i="58" l="1"/>
  <c r="F34" i="58" l="1"/>
  <c r="D30" i="58" l="1"/>
  <c r="E30" i="58"/>
  <c r="E32" i="58" l="1"/>
  <c r="D32" i="58"/>
  <c r="D34" i="58" l="1"/>
  <c r="E34" i="58" l="1"/>
  <c r="G38" i="46"/>
  <c r="G42" i="46" s="1"/>
  <c r="E19" i="1" s="1"/>
  <c r="E22" i="1" l="1"/>
  <c r="F22" i="1" s="1"/>
  <c r="E15" i="1"/>
  <c r="F15" i="1" s="1"/>
  <c r="H15" i="1" s="1"/>
  <c r="F19" i="1"/>
  <c r="H19" i="1" l="1"/>
  <c r="H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Murphy</author>
  </authors>
  <commentList>
    <comment ref="B63" authorId="0" shapeId="0" xr:uid="{00000000-0006-0000-1700-000001000000}">
      <text>
        <r>
          <rPr>
            <b/>
            <sz val="8"/>
            <color indexed="81"/>
            <rFont val="Tahoma"/>
            <family val="2"/>
          </rPr>
          <t>10 Non-Hurricane Years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xli</author>
    <author>jmurphy</author>
  </authors>
  <commentList>
    <comment ref="F39" authorId="0" shapeId="0" xr:uid="{00000000-0006-0000-2000-000001000000}">
      <text>
        <r>
          <rPr>
            <b/>
            <sz val="8"/>
            <color indexed="81"/>
            <rFont val="Tahoma"/>
            <family val="2"/>
          </rPr>
          <t>xli:</t>
        </r>
        <r>
          <rPr>
            <sz val="8"/>
            <color indexed="81"/>
            <rFont val="Tahoma"/>
            <family val="2"/>
          </rPr>
          <t xml:space="preserve">
subtract a certain number</t>
        </r>
      </text>
    </comment>
    <comment ref="K41" authorId="1" shapeId="0" xr:uid="{00000000-0006-0000-2000-000002000000}">
      <text>
        <r>
          <rPr>
            <b/>
            <sz val="8"/>
            <color indexed="81"/>
            <rFont val="Tahoma"/>
            <family val="2"/>
          </rPr>
          <t>jmurphy:</t>
        </r>
        <r>
          <rPr>
            <sz val="8"/>
            <color indexed="81"/>
            <rFont val="Tahoma"/>
            <family val="2"/>
          </rPr>
          <t xml:space="preserve">
from Dolly Ike Lit Reduction spreadsheet</t>
        </r>
      </text>
    </comment>
  </commentList>
</comments>
</file>

<file path=xl/sharedStrings.xml><?xml version="1.0" encoding="utf-8"?>
<sst xmlns="http://schemas.openxmlformats.org/spreadsheetml/2006/main" count="1527" uniqueCount="496">
  <si>
    <t>Texas Windstorm Insurance Association</t>
  </si>
  <si>
    <t>Residential Property - Wind &amp; Hail</t>
  </si>
  <si>
    <t>Rate Level Review</t>
  </si>
  <si>
    <t>Summary of Indicated Rate Change</t>
  </si>
  <si>
    <t>By Method for Projecting Hurricane Loss &amp; LAE</t>
  </si>
  <si>
    <t>Exhibit 1</t>
  </si>
  <si>
    <t>Hurricane</t>
  </si>
  <si>
    <t>Indicated Loss &amp; LAE Ratio</t>
  </si>
  <si>
    <t>Non-Hurricane</t>
  </si>
  <si>
    <t>Total</t>
  </si>
  <si>
    <t>Permissible</t>
  </si>
  <si>
    <t>Loss &amp; LAE</t>
  </si>
  <si>
    <t>Ratio</t>
  </si>
  <si>
    <t>Indicated</t>
  </si>
  <si>
    <t>Rate</t>
  </si>
  <si>
    <t>Change</t>
  </si>
  <si>
    <t>Hurricane Projection Method</t>
  </si>
  <si>
    <t>Notes:</t>
  </si>
  <si>
    <t>Projected Ultimate Non-Hurricane Loss &amp; LAE Ratio</t>
  </si>
  <si>
    <t>All Territory Weighted Average</t>
  </si>
  <si>
    <t>Exhibit 2</t>
  </si>
  <si>
    <t>Sheet 1</t>
  </si>
  <si>
    <t>Territory</t>
  </si>
  <si>
    <t>Tier 1 - Territory 8</t>
  </si>
  <si>
    <t>Tier 2</t>
  </si>
  <si>
    <t>Tier 1 - Territory 10</t>
  </si>
  <si>
    <t>Tier 1 - Territory 9</t>
  </si>
  <si>
    <t>Amount</t>
  </si>
  <si>
    <t>Share</t>
  </si>
  <si>
    <t>Loss &amp; LAE Ratio</t>
  </si>
  <si>
    <t>Total / Average</t>
  </si>
  <si>
    <t>Tier 1 -- Territory 8 (Galveston County)</t>
  </si>
  <si>
    <t>Sheet 2a</t>
  </si>
  <si>
    <t>Accident Year</t>
  </si>
  <si>
    <t>Ending</t>
  </si>
  <si>
    <t>Ultimate</t>
  </si>
  <si>
    <t>LAE</t>
  </si>
  <si>
    <t>Factor</t>
  </si>
  <si>
    <t>Net</t>
  </si>
  <si>
    <t>Trend</t>
  </si>
  <si>
    <t>Projected</t>
  </si>
  <si>
    <t>Loss</t>
  </si>
  <si>
    <t>at Current</t>
  </si>
  <si>
    <t>TWIA Rate Level</t>
  </si>
  <si>
    <t>Earned Premium</t>
  </si>
  <si>
    <t>Tier 1 -- Territory 9 (Nueces County)</t>
  </si>
  <si>
    <t>Sheet 2b</t>
  </si>
  <si>
    <t>Tier 1 -- Territory 10 (Other Tier 1)</t>
  </si>
  <si>
    <t>Sheet 2c</t>
  </si>
  <si>
    <t>Sheet 2d</t>
  </si>
  <si>
    <t>Tier 2 -- (Territories 1 and 11)</t>
  </si>
  <si>
    <t>Sheet 3a</t>
  </si>
  <si>
    <t>Projected Ultimate Non-Hurricane Loss</t>
  </si>
  <si>
    <t>Accident</t>
  </si>
  <si>
    <t>Year</t>
  </si>
  <si>
    <t>Paid Loss</t>
  </si>
  <si>
    <t>Development</t>
  </si>
  <si>
    <t>Sheet 3b</t>
  </si>
  <si>
    <t>Sheet 3c</t>
  </si>
  <si>
    <t>Sheet 3d</t>
  </si>
  <si>
    <t>Paid Loss Excluding Expense</t>
  </si>
  <si>
    <t>Sheet 4a</t>
  </si>
  <si>
    <t>Sheet 4b</t>
  </si>
  <si>
    <t>Sheet 4c</t>
  </si>
  <si>
    <t>Sheet 4d</t>
  </si>
  <si>
    <t>Paid Loss Development Factors</t>
  </si>
  <si>
    <t>Statewide Industry Extended Coverage Dwelling Paid Loss</t>
  </si>
  <si>
    <t>Exhibit 3</t>
  </si>
  <si>
    <t>Months of Development</t>
  </si>
  <si>
    <t>Starting Accident Age</t>
  </si>
  <si>
    <t>Development Factors</t>
  </si>
  <si>
    <t>Average</t>
  </si>
  <si>
    <t>Avg 5 Year</t>
  </si>
  <si>
    <t>Selected</t>
  </si>
  <si>
    <t>Cumulative</t>
  </si>
  <si>
    <t>Exhibit 4</t>
  </si>
  <si>
    <t>Development of LAE factor Using TWIA Commercial + Residential Experience</t>
  </si>
  <si>
    <t>LAE to</t>
  </si>
  <si>
    <t>Loss Ratio</t>
  </si>
  <si>
    <t>Indicator</t>
  </si>
  <si>
    <t>H</t>
  </si>
  <si>
    <t>Hurricane Years Total</t>
  </si>
  <si>
    <t>All Years Total</t>
  </si>
  <si>
    <t>Non-Hurricane Years</t>
  </si>
  <si>
    <t>10 Year</t>
  </si>
  <si>
    <t>Sheet 2</t>
  </si>
  <si>
    <t>Ultimate Loss (TWIA All Lines)</t>
  </si>
  <si>
    <t>Incurred</t>
  </si>
  <si>
    <t>Sheet 3</t>
  </si>
  <si>
    <t>Incurred Loss Development Factors</t>
  </si>
  <si>
    <t>TWIA Schedule P Incurred Loss (Including IBNR)</t>
  </si>
  <si>
    <t>Sheet 4</t>
  </si>
  <si>
    <t>ALAE</t>
  </si>
  <si>
    <t>ULAE</t>
  </si>
  <si>
    <t>Sheet 5</t>
  </si>
  <si>
    <t>Incurred ALAE Development Factors</t>
  </si>
  <si>
    <t>TWIA Schedule P Incurred ALAE (Including IBNR)</t>
  </si>
  <si>
    <t>Avg x hi / lo</t>
  </si>
  <si>
    <t>Avg 3 Year</t>
  </si>
  <si>
    <t>Summary of Indicated Hurricane Loss &amp; LAE Ratios</t>
  </si>
  <si>
    <t>Exhibit 5</t>
  </si>
  <si>
    <t>Basis for Hurricane Loss Ratio</t>
  </si>
  <si>
    <t>Hurricane Models</t>
  </si>
  <si>
    <t>AIR Model</t>
  </si>
  <si>
    <t>RMS Model</t>
  </si>
  <si>
    <t>Average of Models</t>
  </si>
  <si>
    <t>Exhibit 6</t>
  </si>
  <si>
    <t>Industry Experience -- Residential Extended Coverage</t>
  </si>
  <si>
    <t>1971</t>
  </si>
  <si>
    <t>1980</t>
  </si>
  <si>
    <t>1983</t>
  </si>
  <si>
    <t>1986</t>
  </si>
  <si>
    <t>1989</t>
  </si>
  <si>
    <t>1999</t>
  </si>
  <si>
    <t>(10)</t>
  </si>
  <si>
    <t>Start</t>
  </si>
  <si>
    <t>End</t>
  </si>
  <si>
    <t>Simple Average Loss Ratio for Hurricane Years</t>
  </si>
  <si>
    <t>Losses</t>
  </si>
  <si>
    <t>Years</t>
  </si>
  <si>
    <t>(5)</t>
  </si>
  <si>
    <t>(9)</t>
  </si>
  <si>
    <t>(8)</t>
  </si>
  <si>
    <t>(7)</t>
  </si>
  <si>
    <t>(6)</t>
  </si>
  <si>
    <t>Selected Non-Hurricane Loss Ratio</t>
  </si>
  <si>
    <t>Earned</t>
  </si>
  <si>
    <t>Premium</t>
  </si>
  <si>
    <t>at CMR</t>
  </si>
  <si>
    <t>Average of Non-Hurricane Years</t>
  </si>
  <si>
    <t>Territory 8</t>
  </si>
  <si>
    <t>Territory 9</t>
  </si>
  <si>
    <t>Territory 10</t>
  </si>
  <si>
    <t>Weighted</t>
  </si>
  <si>
    <t>Loss Ratios by Territory / Tier</t>
  </si>
  <si>
    <t>% Share</t>
  </si>
  <si>
    <t>to TWIA</t>
  </si>
  <si>
    <t>Rate Level</t>
  </si>
  <si>
    <t>Sheet 6</t>
  </si>
  <si>
    <t>Sheet 7</t>
  </si>
  <si>
    <t>Factor to TWIA Rate Level</t>
  </si>
  <si>
    <t>(4)</t>
  </si>
  <si>
    <t>County</t>
  </si>
  <si>
    <t>TWIA Insured</t>
  </si>
  <si>
    <t>Values (000s)</t>
  </si>
  <si>
    <t>Modeled</t>
  </si>
  <si>
    <t>Loss Cost</t>
  </si>
  <si>
    <t>Hurricane Loss</t>
  </si>
  <si>
    <t>Expected Annual</t>
  </si>
  <si>
    <t>Indicated Hurricane Loss Ratio</t>
  </si>
  <si>
    <t>Aransas</t>
  </si>
  <si>
    <t>Brazoria</t>
  </si>
  <si>
    <t>Calhoun</t>
  </si>
  <si>
    <t>Cameron</t>
  </si>
  <si>
    <t>Chambers</t>
  </si>
  <si>
    <t>Galveston</t>
  </si>
  <si>
    <t>Harris</t>
  </si>
  <si>
    <t>Jefferson</t>
  </si>
  <si>
    <t>Kenedy</t>
  </si>
  <si>
    <t>Kleberg</t>
  </si>
  <si>
    <t>Matagorda</t>
  </si>
  <si>
    <t>Nueces</t>
  </si>
  <si>
    <t>Refugio</t>
  </si>
  <si>
    <t>San Patricio</t>
  </si>
  <si>
    <t>Willacy</t>
  </si>
  <si>
    <t>Insured Values as of</t>
  </si>
  <si>
    <t>Annual</t>
  </si>
  <si>
    <t>Modeled Loss</t>
  </si>
  <si>
    <t>Exhibit 8</t>
  </si>
  <si>
    <t>Hurricane Loss Ratio -- AIR Model</t>
  </si>
  <si>
    <t>AIR Simulated Hurricane Results</t>
  </si>
  <si>
    <t>Exhibit 9</t>
  </si>
  <si>
    <t>Hurricane Loss Ratio -- RMS Model</t>
  </si>
  <si>
    <t>RMS Simulated Hurricane Results</t>
  </si>
  <si>
    <t>Exhibit 10</t>
  </si>
  <si>
    <t>Name</t>
  </si>
  <si>
    <t>Frequency</t>
  </si>
  <si>
    <t>Date Period</t>
  </si>
  <si>
    <t>Hurricanes</t>
  </si>
  <si>
    <t>Annual Frequency</t>
  </si>
  <si>
    <t>Exhibit 11</t>
  </si>
  <si>
    <t>Sheet 1a</t>
  </si>
  <si>
    <t>Manual Rates</t>
  </si>
  <si>
    <t>Sheet 1b</t>
  </si>
  <si>
    <t>Sheet 1c</t>
  </si>
  <si>
    <t>Sheet 1d</t>
  </si>
  <si>
    <t>Calculation of TWIA Earned Premium at Present Rate Level</t>
  </si>
  <si>
    <t>Exhibit 12</t>
  </si>
  <si>
    <t>Expense Category</t>
  </si>
  <si>
    <t>(1)</t>
  </si>
  <si>
    <t>(2)</t>
  </si>
  <si>
    <t>(3)</t>
  </si>
  <si>
    <t>Direct Earned Premium</t>
  </si>
  <si>
    <t>Direct Written Premium</t>
  </si>
  <si>
    <t>Commission</t>
  </si>
  <si>
    <t>$ Amount</t>
  </si>
  <si>
    <t>% of DWP</t>
  </si>
  <si>
    <t>Other Acquisition</t>
  </si>
  <si>
    <t>General Expense</t>
  </si>
  <si>
    <t>Unadjusted $ Amount</t>
  </si>
  <si>
    <t>Adjustments</t>
  </si>
  <si>
    <t>Contribution to Statutory Fund</t>
  </si>
  <si>
    <t>Adjusted $ Amount</t>
  </si>
  <si>
    <t>Taxes, Licenses &amp; Fees</t>
  </si>
  <si>
    <t>Reinsurance Expense</t>
  </si>
  <si>
    <t>(11)</t>
  </si>
  <si>
    <t>(15)</t>
  </si>
  <si>
    <t>Reconciliation of Premium Data to Annual Statement</t>
  </si>
  <si>
    <t>Calendar</t>
  </si>
  <si>
    <t>TWIA Provided Written Premium</t>
  </si>
  <si>
    <t>Commercial</t>
  </si>
  <si>
    <t>Residential</t>
  </si>
  <si>
    <t>Written Premium</t>
  </si>
  <si>
    <t>Statement Gross</t>
  </si>
  <si>
    <t>Difference</t>
  </si>
  <si>
    <t>CY Data Ending</t>
  </si>
  <si>
    <t>Calendar Year Ending</t>
  </si>
  <si>
    <t>CAY Ending</t>
  </si>
  <si>
    <t>Evaluated as of</t>
  </si>
  <si>
    <t>Latest Annual Statement Date</t>
  </si>
  <si>
    <t>Ultimate LAE (TWIA All Lines)</t>
  </si>
  <si>
    <t>In-Force</t>
  </si>
  <si>
    <t>Trend Length</t>
  </si>
  <si>
    <t>Selected Premium Trend</t>
  </si>
  <si>
    <t>Fixed Expenses and Variable Permissible Loss &amp; LAE Ratios</t>
  </si>
  <si>
    <t>Fixed</t>
  </si>
  <si>
    <t>Expenses</t>
  </si>
  <si>
    <t>LLAE Ratio</t>
  </si>
  <si>
    <t>Current</t>
  </si>
  <si>
    <t>Prospective</t>
  </si>
  <si>
    <t>Premium Trend Analysis</t>
  </si>
  <si>
    <t>Written</t>
  </si>
  <si>
    <t>Year /</t>
  </si>
  <si>
    <t>Period</t>
  </si>
  <si>
    <t>Quarter</t>
  </si>
  <si>
    <t>Index</t>
  </si>
  <si>
    <t>Loss Trend Analysis</t>
  </si>
  <si>
    <t>Summary of Indices and Calculation of Prospective Loss Costs</t>
  </si>
  <si>
    <t>CY Ending</t>
  </si>
  <si>
    <t>Calendar Year</t>
  </si>
  <si>
    <t>Statewide</t>
  </si>
  <si>
    <t>Coastal</t>
  </si>
  <si>
    <t>Modified</t>
  </si>
  <si>
    <t>Weights</t>
  </si>
  <si>
    <t>Boeckh</t>
  </si>
  <si>
    <t>CPI</t>
  </si>
  <si>
    <t>MCPI</t>
  </si>
  <si>
    <t>Factors to Adjust For Prospective Loss Costs</t>
  </si>
  <si>
    <t>Fitted Trend</t>
  </si>
  <si>
    <t>Average Accident Date</t>
  </si>
  <si>
    <t>Cost Factor</t>
  </si>
  <si>
    <t>Boeckh Residential Construction Index Trend (Statewide)</t>
  </si>
  <si>
    <t>Texas</t>
  </si>
  <si>
    <t>Fitted Trends</t>
  </si>
  <si>
    <t>All Years</t>
  </si>
  <si>
    <t>5 Years</t>
  </si>
  <si>
    <t>4 Years</t>
  </si>
  <si>
    <t>3 Years</t>
  </si>
  <si>
    <t>Linear</t>
  </si>
  <si>
    <t>Exponential</t>
  </si>
  <si>
    <t>Annual Trend</t>
  </si>
  <si>
    <t>R-Squared</t>
  </si>
  <si>
    <t>Boeckh Residential Construction Index Trend (Coastal)</t>
  </si>
  <si>
    <t>Modified Consumer Price Index - External Trend</t>
  </si>
  <si>
    <t>1970</t>
  </si>
  <si>
    <t>Prior</t>
  </si>
  <si>
    <t>OLF</t>
  </si>
  <si>
    <t>Calculation of Net Trend Factors</t>
  </si>
  <si>
    <t>Current Average Earned Date</t>
  </si>
  <si>
    <t>Current Average Accident Date</t>
  </si>
  <si>
    <t>Prospective Average Earned / Accident Date</t>
  </si>
  <si>
    <t>Premium Trend Length</t>
  </si>
  <si>
    <t>Loss Trend Length</t>
  </si>
  <si>
    <t>(12)</t>
  </si>
  <si>
    <t>(13)</t>
  </si>
  <si>
    <t>(14)</t>
  </si>
  <si>
    <t>2003</t>
  </si>
  <si>
    <t>Using Actual Industry Experience</t>
  </si>
  <si>
    <t>Industry Experience</t>
  </si>
  <si>
    <t>Historical Hurricane Frequency</t>
  </si>
  <si>
    <t>Selected Frequency</t>
  </si>
  <si>
    <t>5-Year</t>
  </si>
  <si>
    <t>4-Year</t>
  </si>
  <si>
    <t>3-Year</t>
  </si>
  <si>
    <t>Selected Loss Trend</t>
  </si>
  <si>
    <t>2005</t>
  </si>
  <si>
    <t>at Present Rates</t>
  </si>
  <si>
    <t>Exponential Fitted Trends</t>
  </si>
  <si>
    <t>Level</t>
  </si>
  <si>
    <t>All-Year</t>
  </si>
  <si>
    <t>Correlation Coefficient</t>
  </si>
  <si>
    <t>Average Annual Change</t>
  </si>
  <si>
    <t>(16)</t>
  </si>
  <si>
    <t>Factors</t>
  </si>
  <si>
    <t>TWIA Residential Earned Premium at Present Rates</t>
  </si>
  <si>
    <t>Landfall</t>
  </si>
  <si>
    <t>Month</t>
  </si>
  <si>
    <t>On-</t>
  </si>
  <si>
    <t>Exhibit 7</t>
  </si>
  <si>
    <t>2007</t>
  </si>
  <si>
    <t>2008</t>
  </si>
  <si>
    <t>Using Experience and Models</t>
  </si>
  <si>
    <t>Proposed</t>
  </si>
  <si>
    <t>Development of Reinsurer Expense</t>
  </si>
  <si>
    <t>Using Average of AIR and  RMS Hurricane Models</t>
  </si>
  <si>
    <t>Reinsurance Contract</t>
  </si>
  <si>
    <t>Effective</t>
  </si>
  <si>
    <t>Expiring</t>
  </si>
  <si>
    <t>Average Earned Date</t>
  </si>
  <si>
    <t>(2a)</t>
  </si>
  <si>
    <t>Average Annual Loss by Reinsurance Layer (AIR)</t>
  </si>
  <si>
    <t>Hurricane Model</t>
  </si>
  <si>
    <t>Selected Exposure Trend</t>
  </si>
  <si>
    <t>(2b)</t>
  </si>
  <si>
    <t>Average Annual Loss by Reinsurance Layer (RMS)</t>
  </si>
  <si>
    <t>(2c)</t>
  </si>
  <si>
    <t>Selected Total Average Annual Loss</t>
  </si>
  <si>
    <t>Annual Exposure Growth</t>
  </si>
  <si>
    <t>Prospective Average Annual Loss</t>
  </si>
  <si>
    <t>Net Cost of Reinsurance</t>
  </si>
  <si>
    <t>Indicated Reinsurance Expense %</t>
  </si>
  <si>
    <t>TWIA</t>
  </si>
  <si>
    <t>Projected Ultimate Non-Hurricane Loss &amp; LAE Ratio based on TWIA experience</t>
  </si>
  <si>
    <t>to Current</t>
  </si>
  <si>
    <t>Litigation cost reduction</t>
  </si>
  <si>
    <t/>
  </si>
  <si>
    <t>Note: depop would be 3%</t>
  </si>
  <si>
    <t>at</t>
  </si>
  <si>
    <t>Writen premium</t>
  </si>
  <si>
    <t>At present rates</t>
  </si>
  <si>
    <t xml:space="preserve"> </t>
  </si>
  <si>
    <t>Selected Cumulative</t>
  </si>
  <si>
    <t>Tier 2 -- (Territories 1)</t>
  </si>
  <si>
    <t xml:space="preserve"> Loss Ratio</t>
  </si>
  <si>
    <t>Wtd Devel'd</t>
  </si>
  <si>
    <t>May consider frequency and severity trend sperately</t>
  </si>
  <si>
    <t xml:space="preserve"> to incorporate the statutory limitations on litigation cost that House Bill 3 provides</t>
  </si>
  <si>
    <t>Exposure</t>
  </si>
  <si>
    <t>Quarterly</t>
  </si>
  <si>
    <t>Four Quarter Ending</t>
  </si>
  <si>
    <t>(6) = (5) / (2)</t>
  </si>
  <si>
    <t>(7) annualized average written premium</t>
  </si>
  <si>
    <t>Per house year</t>
  </si>
  <si>
    <t>Cat 3</t>
  </si>
  <si>
    <t>Cat 2</t>
  </si>
  <si>
    <t>Permissible Loss, LAE and Fixed Expense Ratio</t>
  </si>
  <si>
    <t>(6) update to latest year</t>
  </si>
  <si>
    <t>Number of Hurricanes</t>
  </si>
  <si>
    <t>During the Year</t>
  </si>
  <si>
    <t>Hurricane Year</t>
  </si>
  <si>
    <t>Per Hurricane</t>
  </si>
  <si>
    <t>Statewide Industry Extended Coverage Dwelling Incurred Loss</t>
  </si>
  <si>
    <t>Rate Factor</t>
  </si>
  <si>
    <t>A</t>
  </si>
  <si>
    <t>B</t>
  </si>
  <si>
    <t>C</t>
  </si>
  <si>
    <t>D</t>
  </si>
  <si>
    <t>E</t>
  </si>
  <si>
    <t>F</t>
  </si>
  <si>
    <t>G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</si>
  <si>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</si>
  <si>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</si>
  <si>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</si>
  <si>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</si>
  <si>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</si>
  <si>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</si>
  <si>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</si>
  <si>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</si>
  <si>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</si>
  <si>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</si>
  <si>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</si>
  <si>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</si>
  <si>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</si>
  <si>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</si>
  <si>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</si>
  <si>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</si>
  <si>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</si>
  <si>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</si>
  <si>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</si>
  <si>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</si>
  <si>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</si>
  <si>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AD</t>
  </si>
  <si>
    <t>AE</t>
  </si>
  <si>
    <t>AF</t>
  </si>
  <si>
    <t>AG</t>
  </si>
  <si>
    <t>AH</t>
  </si>
  <si>
    <t>OLFs</t>
  </si>
  <si>
    <t>1968</t>
  </si>
  <si>
    <t>(4) = MAX((3)-(5),0)/(2)</t>
  </si>
  <si>
    <t>(7) = (6) * loss development factors from Exhibit 3.1b</t>
  </si>
  <si>
    <t>Table of Contents</t>
  </si>
  <si>
    <t>Main Heading</t>
  </si>
  <si>
    <t>Sub-heading</t>
  </si>
  <si>
    <t xml:space="preserve">Exhibit </t>
  </si>
  <si>
    <t>Sheet</t>
  </si>
  <si>
    <t>Tab label</t>
  </si>
  <si>
    <t>2.2a</t>
  </si>
  <si>
    <t>2.2b</t>
  </si>
  <si>
    <t>2.2c</t>
  </si>
  <si>
    <t>2.2d</t>
  </si>
  <si>
    <t>2.3a</t>
  </si>
  <si>
    <t>2.3b</t>
  </si>
  <si>
    <t>2.3c</t>
  </si>
  <si>
    <t>2.3d</t>
  </si>
  <si>
    <t>2.4a</t>
  </si>
  <si>
    <t>2.4b</t>
  </si>
  <si>
    <t>2.4c</t>
  </si>
  <si>
    <t>2.4d</t>
  </si>
  <si>
    <t>trend 2.5</t>
  </si>
  <si>
    <t>ldf 3.1a</t>
  </si>
  <si>
    <t>ldf 3.1b</t>
  </si>
  <si>
    <t>3.2 premium trend</t>
  </si>
  <si>
    <t>3.3a</t>
  </si>
  <si>
    <t>3.3b</t>
  </si>
  <si>
    <t>3.3c</t>
  </si>
  <si>
    <t>3.3d</t>
  </si>
  <si>
    <t>4.3AS loss Dev</t>
  </si>
  <si>
    <t>4.5AS LAE Dev</t>
  </si>
  <si>
    <t>10.1a</t>
  </si>
  <si>
    <t>10.1b</t>
  </si>
  <si>
    <t>10.1c</t>
  </si>
  <si>
    <t>10.1d</t>
  </si>
  <si>
    <t>Keep most recent 10 years</t>
  </si>
  <si>
    <t>AI</t>
  </si>
  <si>
    <t>Only include latest 10 years</t>
  </si>
  <si>
    <t>LDF 3.1b</t>
  </si>
  <si>
    <t>10 most recent years</t>
  </si>
  <si>
    <t>Update column (2)</t>
  </si>
  <si>
    <t>x</t>
  </si>
  <si>
    <t>Update Column (2)</t>
  </si>
  <si>
    <t>Update Cell N8</t>
  </si>
  <si>
    <t>Update columns (2), (3), (4)</t>
  </si>
  <si>
    <t>Update Cell N9</t>
  </si>
  <si>
    <t>2022 Rate Level Review</t>
  </si>
  <si>
    <t>Add most recent year</t>
  </si>
  <si>
    <t>Update the total row</t>
  </si>
  <si>
    <t>Update formulas to link to latest year's commercial rate indication workbook</t>
  </si>
  <si>
    <t>Add new row for most recent year</t>
  </si>
  <si>
    <t>Update link to most recent data workbook</t>
  </si>
  <si>
    <t>Update Total column to include most recent year</t>
  </si>
  <si>
    <t>Add new hurricanes, if any</t>
  </si>
  <si>
    <t>Update hurricane count formula</t>
  </si>
  <si>
    <t>Update values from latest year's data workbook</t>
  </si>
  <si>
    <t>Update item (5): Inforce Premium as of 11/30/21 at Present Rates</t>
  </si>
  <si>
    <t>IF Model</t>
  </si>
  <si>
    <t>Update links to Commercial workbook</t>
  </si>
  <si>
    <t>Update prior selected ATA factors</t>
  </si>
  <si>
    <t>Update links to commercial workbook</t>
  </si>
  <si>
    <t>Add new row for most recent accident year</t>
  </si>
  <si>
    <t>Add new row to include latest accident year</t>
  </si>
  <si>
    <t>Include hurricane indicator if applicable</t>
  </si>
  <si>
    <t>Update total row to include latest row</t>
  </si>
  <si>
    <t>Update print area</t>
  </si>
  <si>
    <t>Update Average Earned Date</t>
  </si>
  <si>
    <t>Update Average Accident Date</t>
  </si>
  <si>
    <t>Update Propsective Average Earned  / Accident Date</t>
  </si>
  <si>
    <t>Average of All Models</t>
  </si>
  <si>
    <t>AJ</t>
  </si>
  <si>
    <t>Add new row for latest accident year</t>
  </si>
  <si>
    <t>Update total row to include latest accident year</t>
  </si>
  <si>
    <t>Update on-level factor column (4)</t>
  </si>
  <si>
    <t>Update litigation cost reduction</t>
  </si>
  <si>
    <t>Update average row to include latest accident year</t>
  </si>
  <si>
    <t>Update row (8) to latest year</t>
  </si>
  <si>
    <t>Update column (7) with most updated LDFs</t>
  </si>
  <si>
    <t>Update LDF 3.1b table</t>
  </si>
  <si>
    <t>2018</t>
  </si>
  <si>
    <t>2019</t>
  </si>
  <si>
    <t>2020</t>
  </si>
  <si>
    <t>2021</t>
  </si>
  <si>
    <t>2017</t>
  </si>
  <si>
    <t>Add latest accident year, if applicable</t>
  </si>
  <si>
    <t>Update formula for (6)</t>
  </si>
  <si>
    <t>Update links to latest data workbook</t>
  </si>
  <si>
    <t>Copy and paste previous year's selected LDFs</t>
  </si>
  <si>
    <t>Update link to latest data workbook</t>
  </si>
  <si>
    <t>Update links to latest workbook for column (2)</t>
  </si>
  <si>
    <t>Update indices to refer to correct year for column (3)</t>
  </si>
  <si>
    <t>Update links to external files</t>
  </si>
  <si>
    <t>Copied from accounting or previous analysis</t>
  </si>
  <si>
    <t>Tentative, will be updated when available</t>
  </si>
  <si>
    <t>AK</t>
  </si>
  <si>
    <t>Net Trend Factor</t>
  </si>
  <si>
    <t>Average Hurricane Loss Ratio per Hurricane Before Trending</t>
  </si>
  <si>
    <t>Selected Avg Hurr Loss Ratio Per Hurricane Before Trending</t>
  </si>
  <si>
    <t>Indicated Hurricane Loss Ratio Before Trending</t>
  </si>
  <si>
    <t>Selected Hurricane Loss Ratio After Trending</t>
  </si>
  <si>
    <t>(7) a</t>
  </si>
  <si>
    <t>(7) b</t>
  </si>
  <si>
    <t>(7) b = Selected</t>
  </si>
  <si>
    <t>(5) Derived from current and previous year's Exhibit 2, Sheet 5</t>
  </si>
  <si>
    <t>Impact Forecasting Simulated Hurricane Results</t>
  </si>
  <si>
    <t>Hurricane Loss Ratio -- Impact Forecasting Model</t>
  </si>
  <si>
    <t>CoreLogic RQE Model</t>
  </si>
  <si>
    <t>Hurricane Loss Ratio -- CoreLogic RQE Model</t>
  </si>
  <si>
    <t>CoreLogic RQE Simulated Hurricane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</si>
</sst>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6" formatCode="&quot;$&quot;#,##0_);[Red]\(&quot;$&quot;#,##0\)"/>
    <numFmt numFmtId="43" formatCode="_(* #,##0.00_);_(* \(#,##0.00\);_(* &quot;-&quot;??_);_(@_)"/>
    <numFmt numFmtId="164" formatCode="0.0%"/>
    <numFmt numFmtId="165" formatCode="\+0%;\-0%;0%"/>
    <numFmt numFmtId="166" formatCode="0.000"/>
    <numFmt numFmtId="167" formatCode="#,##0.000"/>
    <numFmt numFmtId="168" formatCode="0.0000"/>
    <numFmt numFmtId="169" formatCode="&quot;$&quot;#,##0"/>
    <numFmt numFmtId="170" formatCode="_(* #,##0_);_(* \(#,##0\);_(* &quot;-&quot;??_);_(@_)"/>
    <numFmt numFmtId="171" formatCode="0.0"/>
    <numFmt numFmtId="172" formatCode="_(&quot;$&quot;* #,##0.00_);_(&quot;$&quot;* \(#,##0.00\);_(&quot;$&quot;* &quot;0.00&quot;_);_(@_)"/>
    <numFmt numFmtId="173" formatCode="_(* #,##0.00_);_(* \(#,##0.00\);_(* &quot;0.00&quot;_);_(@_)"/>
    <numFmt numFmtId="174" formatCode="_(* #,##0.000_);_(* \(#,##0.000\);_(* &quot;0.000&quot;_);_(@_)"/>
    <numFmt numFmtId="175" formatCode="_(&quot;$&quot;* #,##0.0_);_(&quot;$&quot;* \(#,##0.0\);_(&quot;$&quot;* &quot;0.0&quot;_);_(@_)"/>
    <numFmt numFmtId="176" formatCode="_(* #,##0.0_);_(* \(#,##0.0\);_(* &quot;0.0&quot;_);_(@_)"/>
    <numFmt numFmtId="177" formatCode="_(* #,##0.00000_);_(* \(#,##0.00000\);_(* &quot;0.00000&quot;_);_(@_)"/>
    <numFmt numFmtId="178" formatCode="0.0000000000000000%"/>
    <numFmt numFmtId="179" formatCode="\+0.0%;\-0.0%;0.0%"/>
    <numFmt numFmtId="180" formatCode="m/d;@"/>
    <numFmt numFmtId="181" formatCode="0.00000%"/>
    <numFmt numFmtId="182" formatCode="_(* #,##0.0_);_(* \(#,##0.0\);_(* &quot;-&quot;??_);_(@_)"/>
  </numFmts>
  <fonts count="24" x14ac:knownFonts="1">
    <font>
      <sz val="8"/>
      <name val="Arial"/>
      <family val="2"/>
    </font>
    <font>
      <sz val="8"/>
      <name val="Arial Narrow"/>
      <family val="2"/>
    </font>
    <font>
      <b/>
      <sz val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sz val="8"/>
      <color indexed="12"/>
      <name val="Arial"/>
      <family val="2"/>
    </font>
    <font>
      <sz val="8"/>
      <color indexed="54"/>
      <name val="Arial"/>
      <family val="2"/>
    </font>
    <font>
      <b/>
      <sz val="8"/>
      <color indexed="81"/>
      <name val="Tahoma"/>
      <family val="2"/>
    </font>
    <font>
      <sz val="12"/>
      <name val="Times New Roman"/>
      <family val="1"/>
    </font>
    <font>
      <sz val="8"/>
      <color indexed="14"/>
      <name val="Arial"/>
      <family val="2"/>
    </font>
    <font>
      <sz val="8"/>
      <color indexed="81"/>
      <name val="Tahoma"/>
      <family val="2"/>
    </font>
    <font>
      <sz val="8"/>
      <color rgb="FFFF0000"/>
      <name val="Arial"/>
      <family val="2"/>
    </font>
    <font>
      <sz val="8"/>
      <color theme="4" tint="-0.249977111117893"/>
      <name val="Arial"/>
      <family val="2"/>
    </font>
    <font>
      <sz val="8"/>
      <color rgb="FF666699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sz val="8"/>
      <color theme="0" tint="-0.14999847407452621"/>
      <name val="Arial"/>
      <family val="2"/>
    </font>
    <font>
      <sz val="8"/>
      <color rgb="FF7030A0"/>
      <name val="Arial"/>
      <family val="2"/>
    </font>
    <font>
      <sz val="8"/>
      <color theme="7" tint="-0.499984740745262"/>
      <name val="Arial"/>
      <family val="2"/>
    </font>
    <font>
      <sz val="8"/>
      <color theme="0" tint="-0.249977111117893"/>
      <name val="Arial"/>
      <family val="2"/>
    </font>
    <font>
      <sz val="8"/>
      <color rgb="FF7030A0"/>
      <name val="Wingdings"/>
      <charset val="2"/>
    </font>
    <font>
      <sz val="8"/>
      <color rgb="FFFF0000"/>
      <name val="Wingdings"/>
      <charset val="2"/>
    </font>
    <font>
      <sz val="8"/>
      <name val="Wingdings"/>
      <charset val="2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176" fontId="9" fillId="0" borderId="0"/>
    <xf numFmtId="173" fontId="9" fillId="0" borderId="0"/>
    <xf numFmtId="174" fontId="9" fillId="0" borderId="0"/>
    <xf numFmtId="177" fontId="9" fillId="0" borderId="0"/>
    <xf numFmtId="175" fontId="9" fillId="0" borderId="0"/>
    <xf numFmtId="172" fontId="9" fillId="0" borderId="0"/>
    <xf numFmtId="0" fontId="4" fillId="0" borderId="0"/>
    <xf numFmtId="9" fontId="1" fillId="0" borderId="0" applyFont="0" applyFill="0" applyBorder="0" applyAlignment="0" applyProtection="0"/>
    <xf numFmtId="164" fontId="9" fillId="0" borderId="0"/>
  </cellStyleXfs>
  <cellXfs count="381">
    <xf numFmtId="0" fontId="0" fillId="0" borderId="0" xfId="0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0" borderId="6" xfId="0" applyBorder="1"/>
    <xf numFmtId="0" fontId="0" fillId="0" borderId="0" xfId="0" applyAlignment="1">
      <alignment horizontal="right"/>
    </xf>
    <xf numFmtId="0" fontId="2" fillId="0" borderId="0" xfId="0" applyFont="1"/>
    <xf numFmtId="0" fontId="0" fillId="0" borderId="7" xfId="0" applyBorder="1"/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Continuous"/>
    </xf>
    <xf numFmtId="164" fontId="5" fillId="0" borderId="0" xfId="9" applyNumberFormat="1" applyFont="1"/>
    <xf numFmtId="165" fontId="5" fillId="0" borderId="0" xfId="9" applyNumberFormat="1" applyFont="1"/>
    <xf numFmtId="165" fontId="4" fillId="0" borderId="0" xfId="9" applyNumberFormat="1" applyFont="1"/>
    <xf numFmtId="0" fontId="5" fillId="0" borderId="0" xfId="0" applyFont="1"/>
    <xf numFmtId="164" fontId="4" fillId="0" borderId="0" xfId="9" applyNumberFormat="1" applyFont="1"/>
    <xf numFmtId="3" fontId="0" fillId="0" borderId="0" xfId="0" applyNumberFormat="1"/>
    <xf numFmtId="164" fontId="0" fillId="0" borderId="0" xfId="0" applyNumberFormat="1"/>
    <xf numFmtId="164" fontId="0" fillId="0" borderId="7" xfId="0" applyNumberFormat="1" applyBorder="1"/>
    <xf numFmtId="0" fontId="4" fillId="0" borderId="0" xfId="0" applyFont="1" applyFill="1"/>
    <xf numFmtId="164" fontId="4" fillId="0" borderId="0" xfId="9" applyNumberFormat="1" applyFont="1" applyFill="1"/>
    <xf numFmtId="0" fontId="3" fillId="0" borderId="0" xfId="0" applyFont="1" applyFill="1"/>
    <xf numFmtId="0" fontId="0" fillId="0" borderId="0" xfId="0" applyAlignment="1">
      <alignment horizontal="left"/>
    </xf>
    <xf numFmtId="0" fontId="0" fillId="0" borderId="7" xfId="0" applyBorder="1" applyAlignment="1">
      <alignment horizontal="left"/>
    </xf>
    <xf numFmtId="0" fontId="5" fillId="0" borderId="0" xfId="0" applyFont="1" applyFill="1"/>
    <xf numFmtId="3" fontId="0" fillId="0" borderId="7" xfId="0" applyNumberFormat="1" applyBorder="1"/>
    <xf numFmtId="164" fontId="0" fillId="0" borderId="0" xfId="0" applyNumberFormat="1" applyFill="1"/>
    <xf numFmtId="164" fontId="0" fillId="0" borderId="7" xfId="0" applyNumberFormat="1" applyFill="1" applyBorder="1"/>
    <xf numFmtId="3" fontId="4" fillId="0" borderId="0" xfId="0" applyNumberFormat="1" applyFont="1" applyFill="1"/>
    <xf numFmtId="3" fontId="4" fillId="0" borderId="7" xfId="0" applyNumberFormat="1" applyFont="1" applyFill="1" applyBorder="1"/>
    <xf numFmtId="3" fontId="0" fillId="0" borderId="0" xfId="0" applyNumberFormat="1" applyFill="1"/>
    <xf numFmtId="3" fontId="0" fillId="0" borderId="7" xfId="0" applyNumberFormat="1" applyFill="1" applyBorder="1"/>
    <xf numFmtId="166" fontId="4" fillId="0" borderId="0" xfId="0" applyNumberFormat="1" applyFont="1" applyFill="1"/>
    <xf numFmtId="166" fontId="0" fillId="0" borderId="0" xfId="0" applyNumberFormat="1" applyFill="1"/>
    <xf numFmtId="166" fontId="0" fillId="0" borderId="7" xfId="0" applyNumberFormat="1" applyFill="1" applyBorder="1"/>
    <xf numFmtId="3" fontId="5" fillId="0" borderId="0" xfId="0" applyNumberFormat="1" applyFont="1" applyFill="1"/>
    <xf numFmtId="167" fontId="4" fillId="0" borderId="0" xfId="0" applyNumberFormat="1" applyFont="1" applyFill="1"/>
    <xf numFmtId="167" fontId="4" fillId="0" borderId="7" xfId="0" applyNumberFormat="1" applyFont="1" applyFill="1" applyBorder="1"/>
    <xf numFmtId="167" fontId="0" fillId="0" borderId="0" xfId="0" applyNumberFormat="1"/>
    <xf numFmtId="167" fontId="6" fillId="0" borderId="0" xfId="0" applyNumberFormat="1" applyFont="1"/>
    <xf numFmtId="166" fontId="0" fillId="0" borderId="0" xfId="0" applyNumberFormat="1"/>
    <xf numFmtId="166" fontId="5" fillId="0" borderId="0" xfId="0" applyNumberFormat="1" applyFont="1" applyFill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3" fontId="5" fillId="0" borderId="0" xfId="0" applyNumberFormat="1" applyFont="1" applyFill="1" applyBorder="1"/>
    <xf numFmtId="0" fontId="5" fillId="0" borderId="0" xfId="0" applyFont="1" applyFill="1" applyBorder="1"/>
    <xf numFmtId="3" fontId="0" fillId="0" borderId="0" xfId="0" applyNumberFormat="1" applyFill="1" applyBorder="1"/>
    <xf numFmtId="0" fontId="0" fillId="0" borderId="0" xfId="0" applyBorder="1"/>
    <xf numFmtId="0" fontId="0" fillId="0" borderId="0" xfId="0" applyBorder="1" applyAlignment="1">
      <alignment horizontal="left"/>
    </xf>
    <xf numFmtId="14" fontId="4" fillId="0" borderId="0" xfId="0" applyNumberFormat="1" applyFont="1" applyFill="1"/>
    <xf numFmtId="164" fontId="4" fillId="0" borderId="0" xfId="9" applyNumberFormat="1" applyFont="1" applyFill="1" applyBorder="1"/>
    <xf numFmtId="165" fontId="4" fillId="0" borderId="0" xfId="9" applyNumberFormat="1" applyFont="1" applyFill="1" applyBorder="1"/>
    <xf numFmtId="166" fontId="4" fillId="0" borderId="0" xfId="9" applyNumberFormat="1" applyFont="1" applyFill="1"/>
    <xf numFmtId="0" fontId="0" fillId="0" borderId="0" xfId="0" quotePrefix="1"/>
    <xf numFmtId="0" fontId="0" fillId="0" borderId="0" xfId="0" applyFill="1" applyAlignment="1">
      <alignment horizontal="left"/>
    </xf>
    <xf numFmtId="3" fontId="0" fillId="0" borderId="0" xfId="0" applyNumberFormat="1" applyBorder="1"/>
    <xf numFmtId="0" fontId="0" fillId="0" borderId="0" xfId="0" applyFill="1"/>
    <xf numFmtId="164" fontId="4" fillId="0" borderId="0" xfId="0" applyNumberFormat="1" applyFont="1" applyFill="1"/>
    <xf numFmtId="164" fontId="5" fillId="0" borderId="0" xfId="0" applyNumberFormat="1" applyFont="1" applyFill="1" applyBorder="1"/>
    <xf numFmtId="164" fontId="4" fillId="0" borderId="0" xfId="0" applyNumberFormat="1" applyFont="1" applyFill="1" applyBorder="1"/>
    <xf numFmtId="164" fontId="0" fillId="0" borderId="0" xfId="0" applyNumberFormat="1" applyFill="1" applyBorder="1"/>
    <xf numFmtId="0" fontId="0" fillId="0" borderId="0" xfId="0" quotePrefix="1" applyNumberFormat="1" applyAlignment="1">
      <alignment horizontal="center"/>
    </xf>
    <xf numFmtId="0" fontId="0" fillId="0" borderId="0" xfId="0" quotePrefix="1" applyFill="1"/>
    <xf numFmtId="166" fontId="4" fillId="0" borderId="7" xfId="0" applyNumberFormat="1" applyFont="1" applyFill="1" applyBorder="1"/>
    <xf numFmtId="3" fontId="5" fillId="0" borderId="7" xfId="0" applyNumberFormat="1" applyFont="1" applyFill="1" applyBorder="1"/>
    <xf numFmtId="14" fontId="0" fillId="0" borderId="0" xfId="0" applyNumberFormat="1"/>
    <xf numFmtId="49" fontId="4" fillId="0" borderId="7" xfId="0" applyNumberFormat="1" applyFont="1" applyBorder="1"/>
    <xf numFmtId="164" fontId="4" fillId="0" borderId="7" xfId="0" applyNumberFormat="1" applyFont="1" applyFill="1" applyBorder="1"/>
    <xf numFmtId="0" fontId="4" fillId="0" borderId="0" xfId="0" applyNumberFormat="1" applyFont="1" applyFill="1"/>
    <xf numFmtId="0" fontId="0" fillId="0" borderId="0" xfId="0" applyNumberFormat="1"/>
    <xf numFmtId="0" fontId="4" fillId="0" borderId="0" xfId="0" applyNumberFormat="1" applyFont="1"/>
    <xf numFmtId="14" fontId="0" fillId="0" borderId="0" xfId="0" applyNumberFormat="1" applyFill="1"/>
    <xf numFmtId="166" fontId="0" fillId="0" borderId="0" xfId="0" applyNumberFormat="1" applyFill="1" applyBorder="1"/>
    <xf numFmtId="164" fontId="4" fillId="0" borderId="0" xfId="0" applyNumberFormat="1" applyFont="1"/>
    <xf numFmtId="170" fontId="4" fillId="0" borderId="0" xfId="9" applyNumberFormat="1" applyFont="1" applyFill="1"/>
    <xf numFmtId="0" fontId="6" fillId="0" borderId="0" xfId="0" applyFont="1" applyFill="1"/>
    <xf numFmtId="14" fontId="6" fillId="0" borderId="0" xfId="0" applyNumberFormat="1" applyFont="1" applyFill="1"/>
    <xf numFmtId="3" fontId="7" fillId="0" borderId="0" xfId="0" applyNumberFormat="1" applyFont="1" applyFill="1"/>
    <xf numFmtId="3" fontId="7" fillId="0" borderId="7" xfId="0" applyNumberFormat="1" applyFont="1" applyFill="1" applyBorder="1"/>
    <xf numFmtId="14" fontId="7" fillId="0" borderId="0" xfId="0" applyNumberFormat="1" applyFont="1"/>
    <xf numFmtId="14" fontId="7" fillId="0" borderId="0" xfId="0" applyNumberFormat="1" applyFont="1" applyFill="1"/>
    <xf numFmtId="14" fontId="4" fillId="0" borderId="0" xfId="0" applyNumberFormat="1" applyFont="1"/>
    <xf numFmtId="164" fontId="4" fillId="0" borderId="7" xfId="9" applyNumberFormat="1" applyFont="1" applyFill="1" applyBorder="1"/>
    <xf numFmtId="49" fontId="5" fillId="0" borderId="0" xfId="0" applyNumberFormat="1" applyFont="1" applyFill="1"/>
    <xf numFmtId="0" fontId="6" fillId="0" borderId="0" xfId="0" applyFont="1"/>
    <xf numFmtId="0" fontId="4" fillId="0" borderId="0" xfId="0" applyNumberFormat="1" applyFont="1" applyFill="1" applyBorder="1" applyAlignment="1">
      <alignment horizontal="left"/>
    </xf>
    <xf numFmtId="14" fontId="5" fillId="0" borderId="0" xfId="0" applyNumberFormat="1" applyFont="1" applyFill="1"/>
    <xf numFmtId="3" fontId="7" fillId="0" borderId="0" xfId="0" applyNumberFormat="1" applyFont="1"/>
    <xf numFmtId="3" fontId="7" fillId="0" borderId="7" xfId="0" applyNumberFormat="1" applyFont="1" applyBorder="1"/>
    <xf numFmtId="164" fontId="7" fillId="0" borderId="0" xfId="0" applyNumberFormat="1" applyFont="1" applyFill="1"/>
    <xf numFmtId="14" fontId="5" fillId="0" borderId="0" xfId="0" applyNumberFormat="1" applyFont="1"/>
    <xf numFmtId="166" fontId="6" fillId="0" borderId="0" xfId="0" applyNumberFormat="1" applyFont="1"/>
    <xf numFmtId="0" fontId="0" fillId="0" borderId="0" xfId="0" applyFont="1"/>
    <xf numFmtId="0" fontId="0" fillId="0" borderId="0" xfId="0" applyFont="1" applyFill="1"/>
    <xf numFmtId="166" fontId="0" fillId="0" borderId="0" xfId="0" applyNumberFormat="1" applyFont="1" applyFill="1"/>
    <xf numFmtId="0" fontId="4" fillId="0" borderId="0" xfId="0" applyFont="1" applyBorder="1"/>
    <xf numFmtId="0" fontId="0" fillId="0" borderId="0" xfId="0" applyBorder="1" applyAlignment="1">
      <alignment horizontal="centerContinuous"/>
    </xf>
    <xf numFmtId="3" fontId="7" fillId="0" borderId="0" xfId="0" applyNumberFormat="1" applyFont="1" applyFill="1" applyBorder="1"/>
    <xf numFmtId="166" fontId="4" fillId="0" borderId="0" xfId="0" applyNumberFormat="1" applyFont="1" applyFill="1" applyBorder="1"/>
    <xf numFmtId="166" fontId="0" fillId="0" borderId="0" xfId="0" applyNumberFormat="1" applyBorder="1"/>
    <xf numFmtId="0" fontId="4" fillId="0" borderId="0" xfId="0" quotePrefix="1" applyFont="1"/>
    <xf numFmtId="0" fontId="4" fillId="0" borderId="0" xfId="0" applyFont="1" applyFill="1" applyBorder="1"/>
    <xf numFmtId="0" fontId="4" fillId="0" borderId="0" xfId="8"/>
    <xf numFmtId="3" fontId="7" fillId="0" borderId="0" xfId="8" applyNumberFormat="1" applyFont="1" applyFill="1"/>
    <xf numFmtId="3" fontId="7" fillId="0" borderId="0" xfId="8" applyNumberFormat="1" applyFont="1" applyFill="1" applyBorder="1"/>
    <xf numFmtId="0" fontId="4" fillId="0" borderId="0" xfId="0" quotePrefix="1" applyFont="1" applyAlignment="1"/>
    <xf numFmtId="0" fontId="0" fillId="0" borderId="0" xfId="0" applyBorder="1" applyAlignment="1"/>
    <xf numFmtId="0" fontId="6" fillId="0" borderId="0" xfId="0" applyNumberFormat="1" applyFont="1"/>
    <xf numFmtId="0" fontId="0" fillId="0" borderId="0" xfId="0" quotePrefix="1" applyBorder="1" applyAlignment="1"/>
    <xf numFmtId="0" fontId="0" fillId="0" borderId="0" xfId="0" quotePrefix="1" applyFill="1" applyBorder="1" applyAlignment="1"/>
    <xf numFmtId="0" fontId="0" fillId="0" borderId="0" xfId="0" applyBorder="1" applyAlignment="1">
      <alignment horizontal="center"/>
    </xf>
    <xf numFmtId="2" fontId="4" fillId="0" borderId="0" xfId="0" applyNumberFormat="1" applyFont="1" applyFill="1"/>
    <xf numFmtId="14" fontId="0" fillId="0" borderId="7" xfId="0" applyNumberFormat="1" applyBorder="1"/>
    <xf numFmtId="2" fontId="4" fillId="0" borderId="7" xfId="0" applyNumberFormat="1" applyFont="1" applyFill="1" applyBorder="1"/>
    <xf numFmtId="0" fontId="0" fillId="0" borderId="0" xfId="0" applyFill="1" applyBorder="1" applyAlignment="1"/>
    <xf numFmtId="0" fontId="7" fillId="0" borderId="0" xfId="0" applyFont="1"/>
    <xf numFmtId="167" fontId="5" fillId="0" borderId="0" xfId="0" applyNumberFormat="1" applyFont="1"/>
    <xf numFmtId="3" fontId="4" fillId="0" borderId="0" xfId="0" applyNumberFormat="1" applyFont="1" applyFill="1" applyBorder="1"/>
    <xf numFmtId="166" fontId="5" fillId="0" borderId="0" xfId="0" applyNumberFormat="1" applyFont="1"/>
    <xf numFmtId="166" fontId="6" fillId="0" borderId="0" xfId="0" applyNumberFormat="1" applyFont="1" applyFill="1"/>
    <xf numFmtId="2" fontId="6" fillId="0" borderId="0" xfId="0" applyNumberFormat="1" applyFont="1" applyFill="1"/>
    <xf numFmtId="0" fontId="0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right"/>
    </xf>
    <xf numFmtId="0" fontId="0" fillId="2" borderId="1" xfId="0" applyFill="1" applyBorder="1" applyProtection="1">
      <protection locked="0"/>
    </xf>
    <xf numFmtId="0" fontId="0" fillId="0" borderId="0" xfId="0" applyProtection="1">
      <protection locked="0"/>
    </xf>
    <xf numFmtId="0" fontId="0" fillId="2" borderId="2" xfId="0" applyFill="1" applyBorder="1" applyProtection="1">
      <protection locked="0"/>
    </xf>
    <xf numFmtId="0" fontId="0" fillId="0" borderId="0" xfId="0" applyFill="1" applyProtection="1"/>
    <xf numFmtId="0" fontId="0" fillId="0" borderId="0" xfId="0" applyFont="1" applyFill="1" applyProtection="1"/>
    <xf numFmtId="0" fontId="0" fillId="0" borderId="6" xfId="0" applyBorder="1" applyProtection="1"/>
    <xf numFmtId="0" fontId="0" fillId="0" borderId="7" xfId="0" applyBorder="1" applyProtection="1"/>
    <xf numFmtId="0" fontId="0" fillId="0" borderId="0" xfId="0" applyBorder="1" applyProtection="1"/>
    <xf numFmtId="0" fontId="0" fillId="0" borderId="0" xfId="0" quotePrefix="1" applyFill="1" applyAlignment="1" applyProtection="1">
      <alignment horizontal="centerContinuous"/>
    </xf>
    <xf numFmtId="0" fontId="0" fillId="0" borderId="0" xfId="0" applyFill="1" applyAlignment="1" applyProtection="1">
      <alignment horizontal="centerContinuous"/>
    </xf>
    <xf numFmtId="0" fontId="0" fillId="0" borderId="0" xfId="0" quotePrefix="1" applyFill="1" applyAlignment="1" applyProtection="1">
      <alignment horizontal="center"/>
    </xf>
    <xf numFmtId="0" fontId="0" fillId="0" borderId="0" xfId="0" applyAlignment="1" applyProtection="1">
      <alignment horizontal="left"/>
    </xf>
    <xf numFmtId="0" fontId="0" fillId="0" borderId="0" xfId="0" quotePrefix="1" applyAlignment="1" applyProtection="1">
      <alignment horizontal="right"/>
    </xf>
    <xf numFmtId="166" fontId="0" fillId="0" borderId="0" xfId="0" applyNumberFormat="1" applyProtection="1"/>
    <xf numFmtId="166" fontId="0" fillId="0" borderId="0" xfId="0" applyNumberFormat="1" applyFont="1" applyFill="1" applyBorder="1" applyProtection="1"/>
    <xf numFmtId="168" fontId="0" fillId="0" borderId="0" xfId="0" applyNumberFormat="1" applyFont="1" applyFill="1" applyAlignment="1" applyProtection="1"/>
    <xf numFmtId="166" fontId="0" fillId="0" borderId="0" xfId="0" applyNumberFormat="1" applyFont="1" applyFill="1" applyProtection="1"/>
    <xf numFmtId="3" fontId="0" fillId="0" borderId="0" xfId="0" applyNumberFormat="1" applyProtection="1"/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3" xfId="0" applyFill="1" applyBorder="1" applyProtection="1">
      <protection locked="0"/>
    </xf>
    <xf numFmtId="164" fontId="4" fillId="0" borderId="0" xfId="0" applyNumberFormat="1" applyFont="1" applyFill="1" applyBorder="1" applyProtection="1"/>
    <xf numFmtId="49" fontId="4" fillId="0" borderId="0" xfId="0" applyNumberFormat="1" applyFont="1" applyBorder="1"/>
    <xf numFmtId="1" fontId="4" fillId="0" borderId="0" xfId="0" applyNumberFormat="1" applyFont="1" applyFill="1"/>
    <xf numFmtId="166" fontId="6" fillId="0" borderId="0" xfId="0" applyNumberFormat="1" applyFont="1" applyFill="1" applyBorder="1"/>
    <xf numFmtId="0" fontId="6" fillId="0" borderId="0" xfId="0" applyFont="1" applyFill="1" applyAlignment="1" applyProtection="1">
      <alignment horizontal="left"/>
    </xf>
    <xf numFmtId="4" fontId="4" fillId="0" borderId="0" xfId="0" applyNumberFormat="1" applyFont="1" applyFill="1" applyAlignment="1" applyProtection="1"/>
    <xf numFmtId="0" fontId="0" fillId="0" borderId="0" xfId="0" applyFill="1" applyBorder="1" applyAlignment="1">
      <alignment horizontal="left"/>
    </xf>
    <xf numFmtId="170" fontId="4" fillId="0" borderId="0" xfId="9" applyNumberFormat="1" applyFont="1" applyFill="1" applyBorder="1"/>
    <xf numFmtId="49" fontId="5" fillId="0" borderId="0" xfId="0" applyNumberFormat="1" applyFont="1" applyFill="1" applyBorder="1"/>
    <xf numFmtId="167" fontId="4" fillId="0" borderId="0" xfId="0" applyNumberFormat="1" applyFont="1" applyFill="1" applyBorder="1"/>
    <xf numFmtId="167" fontId="0" fillId="0" borderId="0" xfId="0" applyNumberFormat="1" applyBorder="1"/>
    <xf numFmtId="167" fontId="7" fillId="0" borderId="0" xfId="0" applyNumberFormat="1" applyFont="1" applyFill="1" applyBorder="1"/>
    <xf numFmtId="167" fontId="7" fillId="0" borderId="0" xfId="0" applyNumberFormat="1" applyFont="1" applyBorder="1"/>
    <xf numFmtId="2" fontId="4" fillId="0" borderId="0" xfId="0" applyNumberFormat="1" applyFont="1" applyFill="1" applyBorder="1"/>
    <xf numFmtId="164" fontId="0" fillId="0" borderId="0" xfId="0" applyNumberFormat="1" applyBorder="1"/>
    <xf numFmtId="0" fontId="4" fillId="0" borderId="7" xfId="0" applyFont="1" applyBorder="1"/>
    <xf numFmtId="14" fontId="0" fillId="0" borderId="0" xfId="0" applyNumberFormat="1" applyFont="1"/>
    <xf numFmtId="0" fontId="0" fillId="0" borderId="0" xfId="0" applyNumberFormat="1" applyFont="1"/>
    <xf numFmtId="0" fontId="0" fillId="0" borderId="0" xfId="0" applyFont="1" applyBorder="1"/>
    <xf numFmtId="4" fontId="0" fillId="0" borderId="7" xfId="0" applyNumberFormat="1" applyFont="1" applyBorder="1"/>
    <xf numFmtId="178" fontId="0" fillId="0" borderId="0" xfId="0" applyNumberFormat="1" applyFont="1"/>
    <xf numFmtId="0" fontId="0" fillId="0" borderId="7" xfId="0" applyNumberFormat="1" applyBorder="1"/>
    <xf numFmtId="3" fontId="7" fillId="0" borderId="0" xfId="0" applyNumberFormat="1" applyFont="1" applyFill="1" applyAlignment="1"/>
    <xf numFmtId="3" fontId="7" fillId="0" borderId="7" xfId="0" applyNumberFormat="1" applyFont="1" applyFill="1" applyBorder="1" applyAlignment="1"/>
    <xf numFmtId="4" fontId="4" fillId="0" borderId="7" xfId="0" applyNumberFormat="1" applyFont="1" applyBorder="1"/>
    <xf numFmtId="0" fontId="7" fillId="0" borderId="7" xfId="0" applyFont="1" applyBorder="1"/>
    <xf numFmtId="166" fontId="4" fillId="0" borderId="0" xfId="0" applyNumberFormat="1" applyFont="1" applyFill="1" applyAlignment="1">
      <alignment horizontal="left"/>
    </xf>
    <xf numFmtId="167" fontId="4" fillId="0" borderId="7" xfId="0" applyNumberFormat="1" applyFont="1" applyBorder="1"/>
    <xf numFmtId="0" fontId="4" fillId="0" borderId="7" xfId="0" applyFont="1" applyBorder="1" applyAlignment="1">
      <alignment horizontal="left"/>
    </xf>
    <xf numFmtId="0" fontId="0" fillId="0" borderId="7" xfId="0" applyFill="1" applyBorder="1"/>
    <xf numFmtId="164" fontId="4" fillId="0" borderId="7" xfId="9" applyNumberFormat="1" applyFont="1" applyBorder="1"/>
    <xf numFmtId="165" fontId="4" fillId="0" borderId="7" xfId="9" applyNumberFormat="1" applyFont="1" applyBorder="1"/>
    <xf numFmtId="14" fontId="6" fillId="0" borderId="0" xfId="0" applyNumberFormat="1" applyFont="1"/>
    <xf numFmtId="0" fontId="5" fillId="0" borderId="0" xfId="0" applyFont="1" applyAlignment="1">
      <alignment horizontal="left"/>
    </xf>
    <xf numFmtId="2" fontId="7" fillId="0" borderId="7" xfId="0" applyNumberFormat="1" applyFont="1" applyFill="1" applyBorder="1"/>
    <xf numFmtId="179" fontId="6" fillId="0" borderId="0" xfId="9" applyNumberFormat="1" applyFont="1"/>
    <xf numFmtId="166" fontId="10" fillId="0" borderId="0" xfId="0" applyNumberFormat="1" applyFont="1" applyFill="1" applyProtection="1"/>
    <xf numFmtId="166" fontId="4" fillId="0" borderId="0" xfId="0" applyNumberFormat="1" applyFont="1" applyFill="1" applyProtection="1"/>
    <xf numFmtId="0" fontId="4" fillId="0" borderId="0" xfId="0" applyFont="1" applyAlignment="1">
      <alignment horizontal="right"/>
    </xf>
    <xf numFmtId="166" fontId="7" fillId="0" borderId="0" xfId="0" applyNumberFormat="1" applyFont="1"/>
    <xf numFmtId="164" fontId="6" fillId="0" borderId="0" xfId="9" applyNumberFormat="1" applyFont="1" applyFill="1"/>
    <xf numFmtId="166" fontId="0" fillId="0" borderId="6" xfId="0" applyNumberFormat="1" applyBorder="1" applyProtection="1"/>
    <xf numFmtId="166" fontId="6" fillId="0" borderId="7" xfId="0" applyNumberFormat="1" applyFont="1" applyFill="1" applyBorder="1"/>
    <xf numFmtId="0" fontId="0" fillId="0" borderId="0" xfId="0" applyFont="1" applyBorder="1" applyAlignment="1">
      <alignment horizontal="left"/>
    </xf>
    <xf numFmtId="3" fontId="0" fillId="0" borderId="0" xfId="0" applyNumberFormat="1" applyFont="1" applyFill="1" applyBorder="1"/>
    <xf numFmtId="170" fontId="0" fillId="0" borderId="0" xfId="9" applyNumberFormat="1" applyFont="1" applyFill="1" applyBorder="1"/>
    <xf numFmtId="164" fontId="12" fillId="0" borderId="0" xfId="9" applyNumberFormat="1" applyFont="1" applyFill="1"/>
    <xf numFmtId="3" fontId="0" fillId="0" borderId="0" xfId="0" applyNumberFormat="1" applyFont="1" applyFill="1"/>
    <xf numFmtId="3" fontId="0" fillId="0" borderId="7" xfId="0" applyNumberFormat="1" applyFont="1" applyFill="1" applyBorder="1"/>
    <xf numFmtId="166" fontId="13" fillId="0" borderId="0" xfId="0" applyNumberFormat="1" applyFont="1" applyFill="1"/>
    <xf numFmtId="0" fontId="0" fillId="0" borderId="6" xfId="0" applyBorder="1" applyAlignment="1">
      <alignment horizontal="center"/>
    </xf>
    <xf numFmtId="0" fontId="0" fillId="2" borderId="5" xfId="0" applyFill="1" applyBorder="1" applyAlignment="1">
      <alignment horizontal="center"/>
    </xf>
    <xf numFmtId="166" fontId="0" fillId="0" borderId="7" xfId="0" applyNumberFormat="1" applyFill="1" applyBorder="1" applyAlignment="1">
      <alignment horizontal="center"/>
    </xf>
    <xf numFmtId="166" fontId="0" fillId="0" borderId="0" xfId="0" applyNumberFormat="1" applyFont="1" applyFill="1" applyAlignment="1"/>
    <xf numFmtId="0" fontId="0" fillId="0" borderId="0" xfId="0" applyAlignment="1"/>
    <xf numFmtId="0" fontId="0" fillId="0" borderId="7" xfId="0" applyBorder="1" applyAlignment="1"/>
    <xf numFmtId="166" fontId="7" fillId="0" borderId="0" xfId="0" applyNumberFormat="1" applyFont="1" applyFill="1" applyBorder="1"/>
    <xf numFmtId="16" fontId="0" fillId="0" borderId="0" xfId="0" applyNumberFormat="1"/>
    <xf numFmtId="3" fontId="12" fillId="0" borderId="0" xfId="0" applyNumberFormat="1" applyFont="1" applyFill="1"/>
    <xf numFmtId="3" fontId="12" fillId="0" borderId="0" xfId="0" applyNumberFormat="1" applyFont="1" applyFill="1" applyBorder="1"/>
    <xf numFmtId="164" fontId="0" fillId="0" borderId="0" xfId="0" applyNumberFormat="1" applyFont="1" applyFill="1" applyBorder="1"/>
    <xf numFmtId="164" fontId="0" fillId="0" borderId="0" xfId="9" applyNumberFormat="1" applyFont="1" applyFill="1" applyBorder="1"/>
    <xf numFmtId="166" fontId="13" fillId="0" borderId="0" xfId="0" applyNumberFormat="1" applyFont="1" applyFill="1" applyBorder="1"/>
    <xf numFmtId="167" fontId="12" fillId="0" borderId="0" xfId="0" applyNumberFormat="1" applyFont="1" applyFill="1"/>
    <xf numFmtId="0" fontId="0" fillId="0" borderId="0" xfId="0" applyNumberFormat="1" applyBorder="1"/>
    <xf numFmtId="3" fontId="7" fillId="0" borderId="0" xfId="0" applyNumberFormat="1" applyFont="1" applyFill="1" applyBorder="1" applyAlignment="1"/>
    <xf numFmtId="167" fontId="4" fillId="0" borderId="0" xfId="0" applyNumberFormat="1" applyFont="1" applyBorder="1"/>
    <xf numFmtId="4" fontId="0" fillId="0" borderId="0" xfId="0" applyNumberFormat="1" applyFont="1" applyBorder="1"/>
    <xf numFmtId="4" fontId="4" fillId="0" borderId="0" xfId="0" applyNumberFormat="1" applyFont="1" applyBorder="1"/>
    <xf numFmtId="0" fontId="4" fillId="0" borderId="0" xfId="0" quotePrefix="1" applyFont="1" applyBorder="1"/>
    <xf numFmtId="4" fontId="0" fillId="0" borderId="0" xfId="0" applyNumberFormat="1" applyProtection="1"/>
    <xf numFmtId="3" fontId="12" fillId="0" borderId="0" xfId="0" applyNumberFormat="1" applyFont="1" applyFill="1" applyAlignment="1">
      <alignment horizontal="left"/>
    </xf>
    <xf numFmtId="0" fontId="12" fillId="0" borderId="0" xfId="0" applyFont="1"/>
    <xf numFmtId="0" fontId="5" fillId="0" borderId="0" xfId="0" applyFont="1" applyFill="1" applyAlignment="1">
      <alignment horizontal="center"/>
    </xf>
    <xf numFmtId="0" fontId="12" fillId="0" borderId="0" xfId="0" applyFont="1" applyAlignment="1">
      <alignment horizontal="left"/>
    </xf>
    <xf numFmtId="14" fontId="4" fillId="0" borderId="0" xfId="0" applyNumberFormat="1" applyFont="1" applyAlignment="1">
      <alignment horizontal="left"/>
    </xf>
    <xf numFmtId="166" fontId="0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3" fontId="12" fillId="0" borderId="0" xfId="0" applyNumberFormat="1" applyFont="1"/>
    <xf numFmtId="0" fontId="12" fillId="0" borderId="0" xfId="0" applyFont="1" applyFill="1"/>
    <xf numFmtId="14" fontId="4" fillId="0" borderId="0" xfId="0" applyNumberFormat="1" applyFont="1" applyAlignment="1">
      <alignment horizontal="right"/>
    </xf>
    <xf numFmtId="0" fontId="0" fillId="0" borderId="0" xfId="0" applyFill="1" applyAlignment="1"/>
    <xf numFmtId="49" fontId="0" fillId="0" borderId="0" xfId="0" applyNumberFormat="1" applyFill="1" applyAlignment="1"/>
    <xf numFmtId="0" fontId="0" fillId="0" borderId="0" xfId="0" applyNumberFormat="1" applyAlignment="1">
      <alignment horizontal="left"/>
    </xf>
    <xf numFmtId="180" fontId="0" fillId="0" borderId="0" xfId="0" quotePrefix="1" applyNumberFormat="1" applyAlignment="1">
      <alignment horizontal="left"/>
    </xf>
    <xf numFmtId="3" fontId="14" fillId="0" borderId="0" xfId="0" applyNumberFormat="1" applyFont="1" applyFill="1"/>
    <xf numFmtId="164" fontId="7" fillId="0" borderId="0" xfId="0" applyNumberFormat="1" applyFont="1" applyFill="1" applyBorder="1"/>
    <xf numFmtId="3" fontId="12" fillId="0" borderId="7" xfId="0" applyNumberFormat="1" applyFont="1" applyFill="1" applyBorder="1"/>
    <xf numFmtId="164" fontId="12" fillId="0" borderId="7" xfId="9" applyNumberFormat="1" applyFont="1" applyFill="1" applyBorder="1"/>
    <xf numFmtId="14" fontId="0" fillId="0" borderId="0" xfId="0" applyNumberFormat="1" applyFont="1" applyAlignment="1">
      <alignment horizontal="right"/>
    </xf>
    <xf numFmtId="0" fontId="0" fillId="0" borderId="0" xfId="0" applyFont="1" applyFill="1" applyBorder="1" applyAlignment="1">
      <alignment horizontal="center"/>
    </xf>
    <xf numFmtId="181" fontId="4" fillId="0" borderId="0" xfId="0" applyNumberFormat="1" applyFont="1"/>
    <xf numFmtId="0" fontId="0" fillId="0" borderId="0" xfId="0" applyFont="1" applyFill="1" applyAlignment="1">
      <alignment horizontal="center"/>
    </xf>
    <xf numFmtId="0" fontId="0" fillId="0" borderId="7" xfId="0" applyBorder="1" applyAlignment="1">
      <alignment horizontal="center"/>
    </xf>
    <xf numFmtId="3" fontId="7" fillId="0" borderId="7" xfId="0" applyNumberFormat="1" applyFont="1" applyFill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4" fillId="0" borderId="0" xfId="0" applyFont="1" applyFill="1" applyAlignment="1">
      <alignment horizontal="left"/>
    </xf>
    <xf numFmtId="178" fontId="0" fillId="0" borderId="0" xfId="0" applyNumberForma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quotePrefix="1" applyFont="1" applyAlignment="1">
      <alignment horizontal="left"/>
    </xf>
    <xf numFmtId="166" fontId="0" fillId="0" borderId="0" xfId="0" applyNumberFormat="1" applyFont="1" applyFill="1" applyBorder="1" applyAlignment="1">
      <alignment horizontal="left"/>
    </xf>
    <xf numFmtId="166" fontId="0" fillId="0" borderId="0" xfId="0" applyNumberFormat="1" applyBorder="1" applyAlignment="1">
      <alignment horizontal="left"/>
    </xf>
    <xf numFmtId="171" fontId="0" fillId="0" borderId="0" xfId="0" applyNumberFormat="1" applyFont="1"/>
    <xf numFmtId="171" fontId="4" fillId="0" borderId="0" xfId="0" applyNumberFormat="1" applyFont="1"/>
    <xf numFmtId="171" fontId="0" fillId="0" borderId="0" xfId="0" applyNumberFormat="1" applyBorder="1"/>
    <xf numFmtId="171" fontId="0" fillId="0" borderId="0" xfId="0" applyNumberFormat="1" applyFont="1" applyFill="1" applyAlignment="1"/>
    <xf numFmtId="0" fontId="14" fillId="0" borderId="0" xfId="0" quotePrefix="1" applyFont="1"/>
    <xf numFmtId="0" fontId="14" fillId="0" borderId="0" xfId="0" applyFont="1"/>
    <xf numFmtId="0" fontId="14" fillId="0" borderId="0" xfId="0" applyFont="1" applyBorder="1"/>
    <xf numFmtId="167" fontId="4" fillId="0" borderId="0" xfId="0" applyNumberFormat="1" applyFont="1" applyFill="1" applyAlignment="1">
      <alignment horizontal="center"/>
    </xf>
    <xf numFmtId="167" fontId="4" fillId="0" borderId="7" xfId="0" applyNumberFormat="1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0" fontId="12" fillId="0" borderId="0" xfId="0" applyFont="1" applyFill="1" applyAlignment="1">
      <alignment horizontal="left"/>
    </xf>
    <xf numFmtId="0" fontId="0" fillId="0" borderId="7" xfId="0" applyBorder="1" applyProtection="1">
      <protection locked="0"/>
    </xf>
    <xf numFmtId="166" fontId="4" fillId="0" borderId="0" xfId="0" applyNumberFormat="1" applyFont="1" applyFill="1" applyAlignment="1">
      <alignment horizontal="center"/>
    </xf>
    <xf numFmtId="4" fontId="0" fillId="0" borderId="0" xfId="0" applyNumberFormat="1" applyAlignment="1" applyProtection="1">
      <alignment horizontal="center"/>
    </xf>
    <xf numFmtId="4" fontId="4" fillId="0" borderId="0" xfId="0" applyNumberFormat="1" applyFont="1" applyFill="1" applyAlignment="1" applyProtection="1">
      <alignment horizontal="center"/>
    </xf>
    <xf numFmtId="164" fontId="6" fillId="0" borderId="6" xfId="0" applyNumberFormat="1" applyFont="1" applyBorder="1"/>
    <xf numFmtId="3" fontId="15" fillId="0" borderId="0" xfId="0" applyNumberFormat="1" applyFont="1" applyFill="1" applyAlignment="1"/>
    <xf numFmtId="14" fontId="5" fillId="0" borderId="0" xfId="0" applyNumberFormat="1" applyFont="1" applyFill="1" applyAlignment="1">
      <alignment horizontal="left"/>
    </xf>
    <xf numFmtId="0" fontId="0" fillId="0" borderId="16" xfId="0" applyBorder="1"/>
    <xf numFmtId="14" fontId="4" fillId="0" borderId="0" xfId="0" applyNumberFormat="1" applyFont="1" applyAlignment="1">
      <alignment horizontal="center"/>
    </xf>
    <xf numFmtId="0" fontId="0" fillId="0" borderId="17" xfId="0" applyBorder="1"/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15" xfId="0" applyBorder="1" applyProtection="1">
      <protection locked="0"/>
    </xf>
    <xf numFmtId="0" fontId="0" fillId="3" borderId="0" xfId="0" applyFill="1"/>
    <xf numFmtId="43" fontId="0" fillId="0" borderId="0" xfId="1" applyFont="1"/>
    <xf numFmtId="0" fontId="14" fillId="0" borderId="0" xfId="0" applyFont="1" applyFill="1"/>
    <xf numFmtId="0" fontId="0" fillId="0" borderId="16" xfId="0" applyFill="1" applyBorder="1"/>
    <xf numFmtId="0" fontId="0" fillId="0" borderId="0" xfId="0" quotePrefix="1" applyFill="1" applyAlignment="1">
      <alignment horizontal="center"/>
    </xf>
    <xf numFmtId="0" fontId="0" fillId="0" borderId="7" xfId="0" applyFont="1" applyBorder="1"/>
    <xf numFmtId="37" fontId="0" fillId="0" borderId="0" xfId="1" applyNumberFormat="1" applyFont="1" applyFill="1" applyBorder="1" applyAlignment="1">
      <alignment horizontal="center" wrapText="1"/>
    </xf>
    <xf numFmtId="0" fontId="0" fillId="0" borderId="0" xfId="0" quotePrefix="1" applyAlignment="1">
      <alignment horizontal="center"/>
    </xf>
    <xf numFmtId="0" fontId="0" fillId="0" borderId="0" xfId="0" quotePrefix="1" applyFont="1"/>
    <xf numFmtId="3" fontId="0" fillId="0" borderId="0" xfId="0" applyNumberFormat="1" applyFont="1"/>
    <xf numFmtId="166" fontId="4" fillId="0" borderId="0" xfId="0" applyNumberFormat="1" applyFont="1" applyFill="1" applyBorder="1" applyAlignment="1">
      <alignment horizontal="center"/>
    </xf>
    <xf numFmtId="0" fontId="0" fillId="0" borderId="6" xfId="0" applyFill="1" applyBorder="1" applyAlignment="1">
      <alignment horizontal="left"/>
    </xf>
    <xf numFmtId="0" fontId="0" fillId="0" borderId="7" xfId="0" applyBorder="1" applyAlignment="1">
      <alignment horizontal="right"/>
    </xf>
    <xf numFmtId="164" fontId="15" fillId="0" borderId="0" xfId="0" applyNumberFormat="1" applyFont="1" applyFill="1" applyBorder="1"/>
    <xf numFmtId="3" fontId="4" fillId="0" borderId="0" xfId="0" applyNumberFormat="1" applyFont="1" applyFill="1" applyBorder="1" applyAlignment="1">
      <alignment horizontal="center"/>
    </xf>
    <xf numFmtId="2" fontId="0" fillId="0" borderId="0" xfId="0" applyNumberFormat="1"/>
    <xf numFmtId="2" fontId="12" fillId="0" borderId="0" xfId="0" applyNumberFormat="1" applyFont="1" applyFill="1"/>
    <xf numFmtId="2" fontId="7" fillId="0" borderId="0" xfId="0" applyNumberFormat="1" applyFont="1"/>
    <xf numFmtId="14" fontId="12" fillId="0" borderId="0" xfId="0" applyNumberFormat="1" applyFont="1" applyFill="1" applyProtection="1"/>
    <xf numFmtId="14" fontId="12" fillId="0" borderId="0" xfId="0" applyNumberFormat="1" applyFont="1" applyFill="1" applyProtection="1">
      <protection locked="0"/>
    </xf>
    <xf numFmtId="3" fontId="5" fillId="0" borderId="0" xfId="0" applyNumberFormat="1" applyFont="1"/>
    <xf numFmtId="0" fontId="2" fillId="0" borderId="7" xfId="0" applyFont="1" applyBorder="1"/>
    <xf numFmtId="0" fontId="2" fillId="0" borderId="7" xfId="0" applyFont="1" applyBorder="1" applyAlignment="1">
      <alignment horizontal="left"/>
    </xf>
    <xf numFmtId="182" fontId="0" fillId="0" borderId="0" xfId="1" applyNumberFormat="1" applyFont="1"/>
    <xf numFmtId="164" fontId="0" fillId="0" borderId="6" xfId="0" applyNumberFormat="1" applyBorder="1"/>
    <xf numFmtId="0" fontId="0" fillId="0" borderId="18" xfId="0" applyFill="1" applyBorder="1"/>
    <xf numFmtId="0" fontId="0" fillId="0" borderId="18" xfId="0" applyBorder="1" applyAlignment="1">
      <alignment horizontal="left"/>
    </xf>
    <xf numFmtId="3" fontId="7" fillId="0" borderId="18" xfId="0" applyNumberFormat="1" applyFont="1" applyFill="1" applyBorder="1"/>
    <xf numFmtId="166" fontId="7" fillId="0" borderId="18" xfId="0" applyNumberFormat="1" applyFont="1" applyFill="1" applyBorder="1"/>
    <xf numFmtId="3" fontId="4" fillId="0" borderId="18" xfId="0" applyNumberFormat="1" applyFont="1" applyFill="1" applyBorder="1"/>
    <xf numFmtId="164" fontId="4" fillId="0" borderId="18" xfId="9" applyNumberFormat="1" applyFont="1" applyFill="1" applyBorder="1"/>
    <xf numFmtId="0" fontId="0" fillId="0" borderId="18" xfId="0" applyBorder="1"/>
    <xf numFmtId="169" fontId="6" fillId="3" borderId="0" xfId="0" applyNumberFormat="1" applyFont="1" applyFill="1"/>
    <xf numFmtId="0" fontId="17" fillId="0" borderId="0" xfId="0" applyFont="1"/>
    <xf numFmtId="3" fontId="0" fillId="0" borderId="18" xfId="0" applyNumberFormat="1" applyFill="1" applyBorder="1"/>
    <xf numFmtId="164" fontId="0" fillId="0" borderId="18" xfId="0" applyNumberFormat="1" applyFill="1" applyBorder="1"/>
    <xf numFmtId="49" fontId="4" fillId="0" borderId="18" xfId="0" applyNumberFormat="1" applyFont="1" applyFill="1" applyBorder="1"/>
    <xf numFmtId="3" fontId="0" fillId="0" borderId="18" xfId="0" applyNumberFormat="1" applyBorder="1"/>
    <xf numFmtId="3" fontId="5" fillId="0" borderId="18" xfId="0" applyNumberFormat="1" applyFont="1" applyFill="1" applyBorder="1"/>
    <xf numFmtId="164" fontId="14" fillId="0" borderId="0" xfId="0" applyNumberFormat="1" applyFont="1" applyFill="1"/>
    <xf numFmtId="0" fontId="14" fillId="0" borderId="0" xfId="0" applyFont="1" applyFill="1" applyBorder="1"/>
    <xf numFmtId="0" fontId="0" fillId="0" borderId="6" xfId="0" applyFill="1" applyBorder="1"/>
    <xf numFmtId="3" fontId="0" fillId="0" borderId="0" xfId="0" applyNumberFormat="1" applyFont="1" applyAlignment="1">
      <alignment horizontal="center"/>
    </xf>
    <xf numFmtId="3" fontId="0" fillId="4" borderId="0" xfId="0" applyNumberFormat="1" applyFont="1" applyFill="1" applyAlignment="1">
      <alignment horizontal="center"/>
    </xf>
    <xf numFmtId="4" fontId="0" fillId="0" borderId="0" xfId="0" applyNumberFormat="1" applyAlignment="1">
      <alignment horizontal="left"/>
    </xf>
    <xf numFmtId="40" fontId="0" fillId="0" borderId="0" xfId="0" applyNumberFormat="1" applyBorder="1"/>
    <xf numFmtId="6" fontId="0" fillId="0" borderId="0" xfId="0" applyNumberFormat="1" applyBorder="1"/>
    <xf numFmtId="2" fontId="18" fillId="0" borderId="0" xfId="0" applyNumberFormat="1" applyFont="1" applyFill="1"/>
    <xf numFmtId="2" fontId="18" fillId="0" borderId="0" xfId="0" applyNumberFormat="1" applyFont="1" applyFill="1" applyBorder="1"/>
    <xf numFmtId="3" fontId="18" fillId="0" borderId="0" xfId="0" applyNumberFormat="1" applyFont="1" applyFill="1" applyAlignment="1">
      <alignment horizontal="center"/>
    </xf>
    <xf numFmtId="3" fontId="18" fillId="0" borderId="0" xfId="0" applyNumberFormat="1" applyFont="1" applyFill="1" applyAlignment="1"/>
    <xf numFmtId="167" fontId="18" fillId="0" borderId="0" xfId="0" applyNumberFormat="1" applyFont="1"/>
    <xf numFmtId="3" fontId="18" fillId="0" borderId="0" xfId="0" applyNumberFormat="1" applyFont="1" applyFill="1"/>
    <xf numFmtId="3" fontId="18" fillId="0" borderId="0" xfId="0" applyNumberFormat="1" applyFont="1" applyFill="1" applyBorder="1"/>
    <xf numFmtId="169" fontId="18" fillId="0" borderId="0" xfId="0" applyNumberFormat="1" applyFont="1" applyFill="1"/>
    <xf numFmtId="164" fontId="18" fillId="0" borderId="0" xfId="0" applyNumberFormat="1" applyFont="1" applyFill="1"/>
    <xf numFmtId="164" fontId="0" fillId="0" borderId="0" xfId="0" applyNumberFormat="1" applyFont="1" applyFill="1"/>
    <xf numFmtId="0" fontId="0" fillId="0" borderId="18" xfId="0" applyBorder="1" applyAlignment="1">
      <alignment horizontal="center"/>
    </xf>
    <xf numFmtId="0" fontId="18" fillId="0" borderId="0" xfId="0" applyFont="1"/>
    <xf numFmtId="167" fontId="18" fillId="0" borderId="0" xfId="0" applyNumberFormat="1" applyFont="1" applyFill="1"/>
    <xf numFmtId="3" fontId="18" fillId="0" borderId="0" xfId="0" applyNumberFormat="1" applyFont="1"/>
    <xf numFmtId="166" fontId="18" fillId="0" borderId="0" xfId="0" applyNumberFormat="1" applyFont="1" applyFill="1"/>
    <xf numFmtId="0" fontId="18" fillId="0" borderId="7" xfId="0" applyFont="1" applyBorder="1"/>
    <xf numFmtId="0" fontId="18" fillId="0" borderId="0" xfId="0" applyFont="1" applyFill="1" applyBorder="1"/>
    <xf numFmtId="0" fontId="18" fillId="0" borderId="0" xfId="0" applyFont="1" applyFill="1"/>
    <xf numFmtId="3" fontId="18" fillId="0" borderId="6" xfId="0" applyNumberFormat="1" applyFont="1" applyFill="1" applyBorder="1"/>
    <xf numFmtId="167" fontId="18" fillId="0" borderId="6" xfId="0" applyNumberFormat="1" applyFont="1" applyFill="1" applyBorder="1"/>
    <xf numFmtId="167" fontId="18" fillId="0" borderId="0" xfId="0" applyNumberFormat="1" applyFont="1" applyFill="1" applyBorder="1"/>
    <xf numFmtId="168" fontId="0" fillId="0" borderId="0" xfId="0" applyNumberFormat="1"/>
    <xf numFmtId="168" fontId="0" fillId="0" borderId="0" xfId="0" applyNumberFormat="1" applyFill="1"/>
    <xf numFmtId="3" fontId="0" fillId="0" borderId="6" xfId="0" applyNumberFormat="1" applyBorder="1"/>
    <xf numFmtId="0" fontId="19" fillId="0" borderId="0" xfId="0" applyFont="1"/>
    <xf numFmtId="49" fontId="5" fillId="0" borderId="0" xfId="0" applyNumberFormat="1" applyFont="1" applyFill="1" applyBorder="1" applyAlignment="1">
      <alignment horizontal="left"/>
    </xf>
    <xf numFmtId="3" fontId="18" fillId="0" borderId="0" xfId="0" applyNumberFormat="1" applyFont="1" applyBorder="1"/>
    <xf numFmtId="0" fontId="20" fillId="0" borderId="0" xfId="0" applyFont="1"/>
    <xf numFmtId="166" fontId="19" fillId="0" borderId="0" xfId="0" applyNumberFormat="1" applyFont="1" applyFill="1" applyAlignment="1"/>
    <xf numFmtId="3" fontId="18" fillId="0" borderId="7" xfId="0" applyNumberFormat="1" applyFont="1" applyFill="1" applyBorder="1"/>
    <xf numFmtId="0" fontId="21" fillId="0" borderId="8" xfId="0" applyFont="1" applyBorder="1" applyAlignment="1">
      <alignment horizontal="right"/>
    </xf>
    <xf numFmtId="0" fontId="18" fillId="0" borderId="9" xfId="0" applyFont="1" applyBorder="1"/>
    <xf numFmtId="0" fontId="22" fillId="0" borderId="11" xfId="0" applyFont="1" applyBorder="1" applyAlignment="1">
      <alignment horizontal="right"/>
    </xf>
    <xf numFmtId="0" fontId="23" fillId="3" borderId="13" xfId="0" applyFont="1" applyFill="1" applyBorder="1" applyAlignment="1">
      <alignment horizontal="right"/>
    </xf>
    <xf numFmtId="0" fontId="0" fillId="3" borderId="14" xfId="0" applyFill="1" applyBorder="1"/>
    <xf numFmtId="164" fontId="6" fillId="0" borderId="0" xfId="0" applyNumberFormat="1" applyFont="1" applyFill="1" applyBorder="1"/>
    <xf numFmtId="0" fontId="0" fillId="0" borderId="6" xfId="0" quotePrefix="1" applyBorder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Continuous"/>
    </xf>
    <xf numFmtId="0" fontId="15" fillId="0" borderId="0" xfId="0" applyFont="1"/>
    <xf numFmtId="0" fontId="0" fillId="0" borderId="0" xfId="0" applyFill="1" applyBorder="1" applyAlignment="1">
      <alignment horizontal="right"/>
    </xf>
    <xf numFmtId="2" fontId="0" fillId="0" borderId="0" xfId="0" applyNumberFormat="1" applyBorder="1"/>
    <xf numFmtId="0" fontId="0" fillId="0" borderId="7" xfId="0" applyFill="1" applyBorder="1" applyAlignment="1">
      <alignment horizontal="right"/>
    </xf>
    <xf numFmtId="2" fontId="0" fillId="0" borderId="7" xfId="0" applyNumberFormat="1" applyBorder="1"/>
    <xf numFmtId="0" fontId="0" fillId="0" borderId="0" xfId="0" quotePrefix="1" applyAlignment="1">
      <alignment horizontal="right"/>
    </xf>
    <xf numFmtId="165" fontId="4" fillId="0" borderId="7" xfId="9" applyNumberFormat="1" applyFont="1" applyFill="1" applyBorder="1"/>
    <xf numFmtId="165" fontId="5" fillId="0" borderId="0" xfId="9" applyNumberFormat="1" applyFont="1" applyFill="1"/>
    <xf numFmtId="165" fontId="4" fillId="0" borderId="0" xfId="9" applyNumberFormat="1" applyFont="1" applyFill="1"/>
    <xf numFmtId="165" fontId="4" fillId="0" borderId="6" xfId="9" applyNumberFormat="1" applyFont="1" applyFill="1" applyBorder="1"/>
    <xf numFmtId="164" fontId="5" fillId="0" borderId="0" xfId="9" applyNumberFormat="1" applyFont="1" applyFill="1" applyBorder="1"/>
    <xf numFmtId="0" fontId="5" fillId="0" borderId="0" xfId="0" applyFont="1" applyBorder="1"/>
    <xf numFmtId="0" fontId="16" fillId="0" borderId="0" xfId="0" applyFont="1" applyAlignment="1">
      <alignment horizontal="center"/>
    </xf>
  </cellXfs>
  <cellStyles count="11">
    <cellStyle name="Comma" xfId="1" builtinId="3"/>
    <cellStyle name="Comma [1]" xfId="2" xr:uid="{00000000-0005-0000-0000-000001000000}"/>
    <cellStyle name="Comma [2]" xfId="3" xr:uid="{00000000-0005-0000-0000-000002000000}"/>
    <cellStyle name="Comma [3]" xfId="4" xr:uid="{00000000-0005-0000-0000-000003000000}"/>
    <cellStyle name="Comma [5]" xfId="5" xr:uid="{00000000-0005-0000-0000-000004000000}"/>
    <cellStyle name="Currency [1]" xfId="6" xr:uid="{00000000-0005-0000-0000-000005000000}"/>
    <cellStyle name="Currency [2]" xfId="7" xr:uid="{00000000-0005-0000-0000-000006000000}"/>
    <cellStyle name="Normal" xfId="0" builtinId="0"/>
    <cellStyle name="Normal_2004 Residential Indications" xfId="8" xr:uid="{00000000-0005-0000-0000-000008000000}"/>
    <cellStyle name="Percent" xfId="9" builtinId="5"/>
    <cellStyle name="Percent [1]" xfId="10" xr:uid="{00000000-0005-0000-0000-00000A000000}"/>
  </cellStyles>
  <dxfs count="0"/>
  <tableStyles count="0" defaultTableStyle="TableStyleMedium9" defaultPivotStyle="PivotStyleLight16"/>
  <colors>
    <mruColors>
      <color rgb="FFFF9999"/>
      <color rgb="FFFF7C80"/>
      <color rgb="FF6666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1.xml"/><Relationship Id="rId63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3.xml"/><Relationship Id="rId61" Type="http://schemas.openxmlformats.org/officeDocument/2006/relationships/externalLink" Target="externalLinks/externalLink7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externalLink" Target="externalLinks/externalLink6.xml"/><Relationship Id="rId65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2.xml"/><Relationship Id="rId64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27</xdr:row>
      <xdr:rowOff>85725</xdr:rowOff>
    </xdr:from>
    <xdr:ext cx="223622" cy="27337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812EECE-2859-4A07-98C9-3E594815E6F3}"/>
            </a:ext>
          </a:extLst>
        </xdr:cNvPr>
        <xdr:cNvSpPr txBox="1"/>
      </xdr:nvSpPr>
      <xdr:spPr>
        <a:xfrm>
          <a:off x="8193405" y="4139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20%20Rate%20Review/Webpage%20Publication/Files%20from%202019/2019%20Residential%20Memo%20Exhibits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19%20Rate%20Review/2018%20Residential%20Indications%20-%20Edit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22%20Rate%20Review/2022%20Dat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22%20Rate%20Review/2022%20Commercial%20Indications%20Exhibit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19%20Rate%20Review/TDI%20Filing/2019%20Commercial%20Indication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13%20Rate%20Review/2013%20Residential%20Indica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ctuarial/Tier%203%20-%20Internal%20Use%20Secured/TWIA/Reviews/2017%20Rate%20Review/2017%20Residential%20Indic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Table of Contents"/>
      <sheetName val="1"/>
      <sheetName val="2.1"/>
      <sheetName val="2.2a"/>
      <sheetName val="2.2b"/>
      <sheetName val="2.2c"/>
      <sheetName val="2.2d"/>
      <sheetName val="2.3a"/>
      <sheetName val="2.3b"/>
      <sheetName val="2.3c"/>
      <sheetName val="2.3d"/>
      <sheetName val="2.4a"/>
      <sheetName val="2.4b"/>
      <sheetName val="2.4c"/>
      <sheetName val="2.4d"/>
      <sheetName val="trend 2.5"/>
      <sheetName val="ldf 3.1a"/>
      <sheetName val="ldf 3.1b"/>
      <sheetName val="3.2 premium trend"/>
      <sheetName val="3.3a"/>
      <sheetName val="3.3b"/>
      <sheetName val="3.3c"/>
      <sheetName val="3.3d"/>
      <sheetName val="4.1"/>
      <sheetName val="4.2"/>
      <sheetName val="4.3AS loss Dev"/>
      <sheetName val="4.4"/>
      <sheetName val="4.5AS LAE Dev"/>
      <sheetName val="5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a"/>
      <sheetName val="10.1b"/>
      <sheetName val="10.1c"/>
      <sheetName val="10.1d"/>
      <sheetName val="10.2"/>
      <sheetName val="11.1"/>
      <sheetName val="11.2"/>
      <sheetName val="12"/>
    </sheetNames>
    <sheetDataSet>
      <sheetData sheetId="0"/>
      <sheetData sheetId="1"/>
      <sheetData sheetId="2">
        <row r="1">
          <cell r="K1" t="str">
            <v>Exhibit 1</v>
          </cell>
        </row>
      </sheetData>
      <sheetData sheetId="3">
        <row r="1">
          <cell r="J1" t="str">
            <v>Exhibit 2</v>
          </cell>
        </row>
        <row r="2">
          <cell r="J2" t="str">
            <v>Sheet 1</v>
          </cell>
        </row>
      </sheetData>
      <sheetData sheetId="4">
        <row r="1">
          <cell r="J1" t="str">
            <v>Exhibit 2</v>
          </cell>
        </row>
        <row r="2">
          <cell r="J2" t="str">
            <v>Sheet 2a</v>
          </cell>
        </row>
      </sheetData>
      <sheetData sheetId="5">
        <row r="1">
          <cell r="J1" t="str">
            <v>Exhibit 2</v>
          </cell>
        </row>
        <row r="2">
          <cell r="J2" t="str">
            <v>Sheet 2b</v>
          </cell>
        </row>
      </sheetData>
      <sheetData sheetId="6">
        <row r="1">
          <cell r="J1" t="str">
            <v>Exhibit 2</v>
          </cell>
        </row>
        <row r="2">
          <cell r="J2" t="str">
            <v>Sheet 2c</v>
          </cell>
        </row>
      </sheetData>
      <sheetData sheetId="7">
        <row r="1">
          <cell r="J1" t="str">
            <v>Exhibit 2</v>
          </cell>
        </row>
        <row r="2">
          <cell r="J2" t="str">
            <v>Sheet 2d</v>
          </cell>
        </row>
      </sheetData>
      <sheetData sheetId="8">
        <row r="1">
          <cell r="J1" t="str">
            <v>Exhibit 2</v>
          </cell>
        </row>
        <row r="2">
          <cell r="J2" t="str">
            <v>Sheet 3a</v>
          </cell>
        </row>
      </sheetData>
      <sheetData sheetId="9">
        <row r="1">
          <cell r="J1" t="str">
            <v>Exhibit 2</v>
          </cell>
        </row>
        <row r="2">
          <cell r="J2" t="str">
            <v>Sheet 3b</v>
          </cell>
        </row>
      </sheetData>
      <sheetData sheetId="10">
        <row r="1">
          <cell r="J1" t="str">
            <v>Exhibit 2</v>
          </cell>
        </row>
        <row r="2">
          <cell r="J2" t="str">
            <v>Sheet 3c</v>
          </cell>
        </row>
      </sheetData>
      <sheetData sheetId="11">
        <row r="1">
          <cell r="J1" t="str">
            <v>Exhibit 2</v>
          </cell>
        </row>
        <row r="2">
          <cell r="J2" t="str">
            <v>Sheet 3d</v>
          </cell>
        </row>
      </sheetData>
      <sheetData sheetId="12">
        <row r="1">
          <cell r="J1" t="str">
            <v>Exhibit 2</v>
          </cell>
        </row>
        <row r="2">
          <cell r="J2" t="str">
            <v>Sheet 4a</v>
          </cell>
        </row>
      </sheetData>
      <sheetData sheetId="13">
        <row r="1">
          <cell r="J1" t="str">
            <v>Exhibit 2</v>
          </cell>
        </row>
        <row r="2">
          <cell r="J2" t="str">
            <v>Sheet 4b</v>
          </cell>
        </row>
      </sheetData>
      <sheetData sheetId="14">
        <row r="1">
          <cell r="J1" t="str">
            <v>Exhibit 2</v>
          </cell>
        </row>
        <row r="2">
          <cell r="J2" t="str">
            <v>Sheet 4c</v>
          </cell>
        </row>
      </sheetData>
      <sheetData sheetId="15">
        <row r="1">
          <cell r="J1" t="str">
            <v>Exhibit 2</v>
          </cell>
        </row>
        <row r="2">
          <cell r="J2" t="str">
            <v>Sheet 4d</v>
          </cell>
        </row>
      </sheetData>
      <sheetData sheetId="16">
        <row r="1">
          <cell r="L1" t="str">
            <v>Exhibit 2</v>
          </cell>
        </row>
        <row r="2">
          <cell r="L2" t="str">
            <v>Sheet 5</v>
          </cell>
        </row>
      </sheetData>
      <sheetData sheetId="17">
        <row r="1">
          <cell r="L1" t="str">
            <v>Exhibit 3</v>
          </cell>
        </row>
        <row r="2">
          <cell r="L2" t="str">
            <v>Sheet 1</v>
          </cell>
        </row>
      </sheetData>
      <sheetData sheetId="18">
        <row r="1">
          <cell r="L1" t="str">
            <v>Exhibit 3</v>
          </cell>
        </row>
        <row r="2">
          <cell r="L2" t="str">
            <v>Sheet 1</v>
          </cell>
        </row>
      </sheetData>
      <sheetData sheetId="19">
        <row r="4">
          <cell r="A4" t="str">
            <v>Premium Trend Analysis</v>
          </cell>
        </row>
      </sheetData>
      <sheetData sheetId="20">
        <row r="1">
          <cell r="L1" t="str">
            <v>Exhibit 3</v>
          </cell>
        </row>
        <row r="2">
          <cell r="L2" t="str">
            <v>Sheet 3a</v>
          </cell>
        </row>
      </sheetData>
      <sheetData sheetId="21">
        <row r="1">
          <cell r="L1" t="str">
            <v>Exhibit 3</v>
          </cell>
        </row>
        <row r="2">
          <cell r="L2" t="str">
            <v>Sheet 3b</v>
          </cell>
        </row>
      </sheetData>
      <sheetData sheetId="22">
        <row r="1">
          <cell r="L1" t="str">
            <v>Exhibit 3</v>
          </cell>
        </row>
        <row r="2">
          <cell r="L2" t="str">
            <v>Sheet 3c</v>
          </cell>
        </row>
      </sheetData>
      <sheetData sheetId="23">
        <row r="1">
          <cell r="L1" t="str">
            <v>Exhibit 3</v>
          </cell>
        </row>
        <row r="2">
          <cell r="L2" t="str">
            <v>Sheet 3d</v>
          </cell>
        </row>
      </sheetData>
      <sheetData sheetId="24">
        <row r="1">
          <cell r="J1" t="str">
            <v>Exhibit 4</v>
          </cell>
        </row>
        <row r="2">
          <cell r="J2" t="str">
            <v>Sheet 1</v>
          </cell>
        </row>
      </sheetData>
      <sheetData sheetId="25">
        <row r="1">
          <cell r="K1" t="str">
            <v>Exhibit 4</v>
          </cell>
        </row>
        <row r="2">
          <cell r="K2" t="str">
            <v>Sheet 2</v>
          </cell>
        </row>
      </sheetData>
      <sheetData sheetId="26">
        <row r="1">
          <cell r="K1" t="str">
            <v>Exhibit 4</v>
          </cell>
        </row>
        <row r="2">
          <cell r="K2" t="str">
            <v>Sheet 3</v>
          </cell>
        </row>
      </sheetData>
      <sheetData sheetId="27">
        <row r="1">
          <cell r="J1" t="str">
            <v>Exhibit 4</v>
          </cell>
        </row>
        <row r="2">
          <cell r="J2" t="str">
            <v>Sheet 4</v>
          </cell>
        </row>
      </sheetData>
      <sheetData sheetId="28">
        <row r="1">
          <cell r="K1" t="str">
            <v>Exhibit 4</v>
          </cell>
        </row>
        <row r="2">
          <cell r="K2" t="str">
            <v>Sheet 5</v>
          </cell>
        </row>
      </sheetData>
      <sheetData sheetId="29">
        <row r="1">
          <cell r="H1" t="str">
            <v>Exhibit 5</v>
          </cell>
        </row>
      </sheetData>
      <sheetData sheetId="30">
        <row r="1">
          <cell r="K1" t="str">
            <v>Exhibit 6</v>
          </cell>
        </row>
        <row r="2">
          <cell r="K2" t="str">
            <v>Sheet 1</v>
          </cell>
        </row>
      </sheetData>
      <sheetData sheetId="31">
        <row r="1">
          <cell r="J1" t="str">
            <v>Exhibit 6</v>
          </cell>
        </row>
        <row r="2">
          <cell r="J2" t="str">
            <v>Sheet 2</v>
          </cell>
        </row>
      </sheetData>
      <sheetData sheetId="32">
        <row r="4">
          <cell r="A4" t="str">
            <v>Industry Experience -- Residential Extended Coverage</v>
          </cell>
        </row>
      </sheetData>
      <sheetData sheetId="33">
        <row r="1">
          <cell r="I1" t="str">
            <v>Exhibit 6</v>
          </cell>
        </row>
        <row r="2">
          <cell r="I2" t="str">
            <v>Sheet 4</v>
          </cell>
        </row>
      </sheetData>
      <sheetData sheetId="34">
        <row r="1">
          <cell r="I1" t="str">
            <v>Exhibit 6</v>
          </cell>
        </row>
        <row r="2">
          <cell r="I2" t="str">
            <v>Sheet 5</v>
          </cell>
        </row>
      </sheetData>
      <sheetData sheetId="35">
        <row r="1">
          <cell r="I1" t="str">
            <v>Exhibit 6</v>
          </cell>
        </row>
        <row r="2">
          <cell r="I2" t="str">
            <v>Sheet 6</v>
          </cell>
        </row>
      </sheetData>
      <sheetData sheetId="36">
        <row r="1">
          <cell r="I1" t="str">
            <v>Exhibit 6</v>
          </cell>
        </row>
        <row r="2">
          <cell r="I2" t="str">
            <v>Sheet 7</v>
          </cell>
        </row>
      </sheetData>
      <sheetData sheetId="37">
        <row r="1">
          <cell r="K1" t="str">
            <v>Exhibit 7</v>
          </cell>
        </row>
        <row r="2">
          <cell r="K2" t="str">
            <v>Sheet 1</v>
          </cell>
        </row>
      </sheetData>
      <sheetData sheetId="38">
        <row r="1">
          <cell r="K1" t="str">
            <v>Exhibit 7</v>
          </cell>
        </row>
        <row r="2">
          <cell r="K2" t="str">
            <v>Sheet 2</v>
          </cell>
        </row>
      </sheetData>
      <sheetData sheetId="39">
        <row r="1">
          <cell r="K1" t="str">
            <v>Exhibit 8</v>
          </cell>
        </row>
        <row r="2">
          <cell r="K2" t="str">
            <v>Sheet 1</v>
          </cell>
        </row>
      </sheetData>
      <sheetData sheetId="40">
        <row r="1">
          <cell r="K1" t="str">
            <v>Exhibit 8</v>
          </cell>
        </row>
        <row r="2">
          <cell r="K2" t="str">
            <v>Sheet 2</v>
          </cell>
        </row>
      </sheetData>
      <sheetData sheetId="41">
        <row r="1">
          <cell r="J1" t="str">
            <v>Exhibit 9</v>
          </cell>
        </row>
      </sheetData>
      <sheetData sheetId="42">
        <row r="1">
          <cell r="J1" t="str">
            <v>Exhibit 10</v>
          </cell>
        </row>
        <row r="2">
          <cell r="J2" t="str">
            <v>Sheet 1a</v>
          </cell>
        </row>
      </sheetData>
      <sheetData sheetId="43">
        <row r="1">
          <cell r="J1" t="str">
            <v>Exhibit 10</v>
          </cell>
        </row>
        <row r="2">
          <cell r="J2" t="str">
            <v>Sheet 1b</v>
          </cell>
        </row>
      </sheetData>
      <sheetData sheetId="44">
        <row r="1">
          <cell r="J1" t="str">
            <v>Exhibit 10</v>
          </cell>
        </row>
        <row r="2">
          <cell r="J2" t="str">
            <v>Sheet 1c</v>
          </cell>
        </row>
      </sheetData>
      <sheetData sheetId="45">
        <row r="1">
          <cell r="J1" t="str">
            <v>Exhibit 10</v>
          </cell>
        </row>
        <row r="2">
          <cell r="J2" t="str">
            <v>Sheet 1d</v>
          </cell>
        </row>
      </sheetData>
      <sheetData sheetId="46">
        <row r="1">
          <cell r="J1" t="str">
            <v>Exhibit 10</v>
          </cell>
        </row>
        <row r="2">
          <cell r="J2" t="str">
            <v>Sheet 2</v>
          </cell>
        </row>
      </sheetData>
      <sheetData sheetId="47">
        <row r="1">
          <cell r="J1" t="str">
            <v>Exhibit 11</v>
          </cell>
        </row>
        <row r="2">
          <cell r="J2" t="str">
            <v>Sheet 1</v>
          </cell>
        </row>
      </sheetData>
      <sheetData sheetId="48">
        <row r="1">
          <cell r="H1" t="str">
            <v>Exhibit 11</v>
          </cell>
        </row>
        <row r="2">
          <cell r="H2" t="str">
            <v>Sheet 2</v>
          </cell>
        </row>
      </sheetData>
      <sheetData sheetId="49">
        <row r="1">
          <cell r="J1" t="str">
            <v>Exhibit 12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Table of Contents"/>
      <sheetName val="1"/>
      <sheetName val="2.1"/>
      <sheetName val="2.2"/>
      <sheetName val="2.3"/>
      <sheetName val="2.4"/>
      <sheetName val="3.1"/>
      <sheetName val="3.2 premium trend"/>
      <sheetName val="3.3a"/>
      <sheetName val="3.3b"/>
      <sheetName val="3.3c"/>
      <sheetName val="3.3d"/>
      <sheetName val="4.1"/>
      <sheetName val="4.2"/>
      <sheetName val="4.3"/>
      <sheetName val="4.4"/>
      <sheetName val="4.5"/>
      <sheetName val="5"/>
      <sheetName val="6.1"/>
      <sheetName val="6.2 - industry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"/>
      <sheetName val="10.2"/>
      <sheetName val="10.3"/>
      <sheetName val="11.2"/>
      <sheetName val="11.1"/>
      <sheetName val="12.1"/>
      <sheetName val="12.2"/>
      <sheetName val="2.2a"/>
      <sheetName val="2.2b"/>
      <sheetName val="2.2c"/>
      <sheetName val="2.2d"/>
      <sheetName val="2.3a"/>
      <sheetName val="2.3b"/>
      <sheetName val="2.3c"/>
      <sheetName val="2.3d"/>
      <sheetName val="2.4a"/>
      <sheetName val="2.4b"/>
      <sheetName val="2.4c"/>
      <sheetName val="2.4d"/>
      <sheetName val="trend 2.5"/>
      <sheetName val="ldf 3.1"/>
      <sheetName val="3.2"/>
      <sheetName val="4.3AS loss Dev"/>
      <sheetName val="4.5AS LAE Dev"/>
      <sheetName val="6.2"/>
      <sheetName val="10.1a"/>
      <sheetName val="10.1b"/>
      <sheetName val="10.1c"/>
      <sheetName val="10.1d"/>
      <sheetName val="12"/>
      <sheetName val="ldf 3.1a"/>
      <sheetName val="ldf 3.1b"/>
      <sheetName val="Summar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1">
          <cell r="J1" t="str">
            <v>Exhibit 11</v>
          </cell>
        </row>
        <row r="2">
          <cell r="J2" t="str">
            <v>Sheet 1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  <sheetData sheetId="52" refreshError="1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O"/>
      <sheetName val="TICO 1"/>
      <sheetName val="TICO 2"/>
      <sheetName val="TICO 3"/>
      <sheetName val="Hurr Models"/>
      <sheetName val="EC LDF"/>
      <sheetName val="TWIA 1"/>
      <sheetName val="TWIA 3"/>
      <sheetName val="TWIA 4 Premium Trend"/>
      <sheetName val="TWIA 5"/>
      <sheetName val="CPI"/>
      <sheetName val="Boeckh (R)"/>
      <sheetName val="Boeckh (C)"/>
      <sheetName val="Checklist"/>
    </sheetNames>
    <sheetDataSet>
      <sheetData sheetId="0">
        <row r="1">
          <cell r="E1">
            <v>44561</v>
          </cell>
        </row>
      </sheetData>
      <sheetData sheetId="1"/>
      <sheetData sheetId="2">
        <row r="1">
          <cell r="E1">
            <v>44469</v>
          </cell>
        </row>
        <row r="2">
          <cell r="E2">
            <v>44561</v>
          </cell>
        </row>
        <row r="26">
          <cell r="O26">
            <v>98605959</v>
          </cell>
          <cell r="P26">
            <v>53841760</v>
          </cell>
          <cell r="Q26">
            <v>160031435</v>
          </cell>
          <cell r="R26">
            <v>3294072</v>
          </cell>
        </row>
        <row r="27">
          <cell r="O27">
            <v>105941027</v>
          </cell>
          <cell r="P27">
            <v>57427564</v>
          </cell>
          <cell r="Q27">
            <v>173209952</v>
          </cell>
          <cell r="R27">
            <v>3672814</v>
          </cell>
        </row>
        <row r="28">
          <cell r="O28">
            <v>113521698</v>
          </cell>
          <cell r="P28">
            <v>62828148</v>
          </cell>
          <cell r="Q28">
            <v>187152484</v>
          </cell>
          <cell r="R28">
            <v>3920276</v>
          </cell>
        </row>
        <row r="29">
          <cell r="O29">
            <v>121221015</v>
          </cell>
          <cell r="P29">
            <v>68716114</v>
          </cell>
          <cell r="Q29">
            <v>200595693</v>
          </cell>
          <cell r="R29">
            <v>4202726</v>
          </cell>
        </row>
        <row r="30">
          <cell r="O30">
            <v>123942872</v>
          </cell>
          <cell r="P30">
            <v>71234774</v>
          </cell>
          <cell r="Q30">
            <v>200978477</v>
          </cell>
          <cell r="R30">
            <v>4436708</v>
          </cell>
        </row>
        <row r="31">
          <cell r="O31">
            <v>120650271</v>
          </cell>
          <cell r="P31">
            <v>69126281</v>
          </cell>
          <cell r="Q31">
            <v>188554673</v>
          </cell>
          <cell r="R31">
            <v>4435808</v>
          </cell>
        </row>
        <row r="32">
          <cell r="O32">
            <v>112717188</v>
          </cell>
          <cell r="P32">
            <v>63899693</v>
          </cell>
          <cell r="Q32">
            <v>166829909</v>
          </cell>
          <cell r="R32">
            <v>4301050</v>
          </cell>
        </row>
        <row r="33">
          <cell r="O33">
            <v>109182096</v>
          </cell>
          <cell r="P33">
            <v>59870593</v>
          </cell>
          <cell r="Q33">
            <v>151980115</v>
          </cell>
          <cell r="R33">
            <v>4296061</v>
          </cell>
        </row>
        <row r="34">
          <cell r="O34">
            <v>108043628</v>
          </cell>
          <cell r="P34">
            <v>57494711</v>
          </cell>
          <cell r="Q34">
            <v>141633299</v>
          </cell>
          <cell r="R34">
            <v>4367811</v>
          </cell>
        </row>
        <row r="35">
          <cell r="O35">
            <v>112324499</v>
          </cell>
          <cell r="P35">
            <v>57000700</v>
          </cell>
          <cell r="Q35">
            <v>140039840</v>
          </cell>
          <cell r="R35">
            <v>4523216</v>
          </cell>
        </row>
        <row r="36">
          <cell r="O36">
            <v>8645207.9953246601</v>
          </cell>
          <cell r="P36">
            <v>4065189.7500367444</v>
          </cell>
          <cell r="Q36">
            <v>8287605.1148678511</v>
          </cell>
          <cell r="R36">
            <v>25239134</v>
          </cell>
          <cell r="S36">
            <v>46237136.860229254</v>
          </cell>
          <cell r="U36">
            <v>13225286.939999998</v>
          </cell>
          <cell r="V36">
            <v>1367254.0699999901</v>
          </cell>
          <cell r="W36">
            <v>22444043.9799999</v>
          </cell>
          <cell r="X36">
            <v>10178608</v>
          </cell>
        </row>
        <row r="37">
          <cell r="O37">
            <v>5826466.6888902895</v>
          </cell>
          <cell r="P37">
            <v>3907711.7768190652</v>
          </cell>
          <cell r="Q37">
            <v>8059406.7247919338</v>
          </cell>
          <cell r="R37">
            <v>26718986.999999989</v>
          </cell>
          <cell r="S37">
            <v>44512572.190501273</v>
          </cell>
          <cell r="U37">
            <v>180484.07</v>
          </cell>
          <cell r="V37">
            <v>1170577.6100000001</v>
          </cell>
          <cell r="W37">
            <v>1625107.7899999989</v>
          </cell>
          <cell r="X37">
            <v>12221034</v>
          </cell>
        </row>
        <row r="38">
          <cell r="O38">
            <v>5825915.9799037296</v>
          </cell>
          <cell r="P38">
            <v>4552394.5717778523</v>
          </cell>
          <cell r="Q38">
            <v>8448603.4214781895</v>
          </cell>
          <cell r="R38">
            <v>31914206</v>
          </cell>
          <cell r="S38">
            <v>50741119.973159775</v>
          </cell>
          <cell r="U38">
            <v>1900088.189999999</v>
          </cell>
          <cell r="V38">
            <v>1312776.429999999</v>
          </cell>
          <cell r="W38">
            <v>1776572.409999999</v>
          </cell>
          <cell r="X38">
            <v>17910197</v>
          </cell>
        </row>
        <row r="39">
          <cell r="O39">
            <v>6996873.8393279798</v>
          </cell>
          <cell r="P39">
            <v>5710806.31582803</v>
          </cell>
          <cell r="Q39">
            <v>9743293.14213733</v>
          </cell>
          <cell r="R39">
            <v>35133612</v>
          </cell>
          <cell r="S39">
            <v>57584585.297293335</v>
          </cell>
          <cell r="U39">
            <v>420037.679999999</v>
          </cell>
          <cell r="V39">
            <v>856368.79999999795</v>
          </cell>
          <cell r="W39">
            <v>1637914.6199999992</v>
          </cell>
          <cell r="X39">
            <v>6968697</v>
          </cell>
        </row>
        <row r="40">
          <cell r="O40">
            <v>8737576.0959496386</v>
          </cell>
          <cell r="P40">
            <v>6908551.5027387999</v>
          </cell>
          <cell r="Q40">
            <v>10745994.710252099</v>
          </cell>
          <cell r="R40">
            <v>34347927</v>
          </cell>
          <cell r="S40">
            <v>60740049.308940537</v>
          </cell>
          <cell r="U40">
            <v>644169</v>
          </cell>
          <cell r="V40">
            <v>1552987</v>
          </cell>
          <cell r="W40">
            <v>2416675</v>
          </cell>
          <cell r="X40">
            <v>20240594</v>
          </cell>
        </row>
        <row r="41">
          <cell r="O41">
            <v>11652672.33924751</v>
          </cell>
          <cell r="P41">
            <v>8568167.9449975695</v>
          </cell>
          <cell r="Q41">
            <v>13294968.250411501</v>
          </cell>
          <cell r="R41">
            <v>38349763.638891585</v>
          </cell>
          <cell r="S41">
            <v>71865572.173548162</v>
          </cell>
          <cell r="U41">
            <v>406004</v>
          </cell>
          <cell r="V41">
            <v>1061115</v>
          </cell>
          <cell r="W41">
            <v>1520229</v>
          </cell>
          <cell r="X41">
            <v>9046495</v>
          </cell>
        </row>
        <row r="42">
          <cell r="O42">
            <v>12573252.045386501</v>
          </cell>
          <cell r="P42">
            <v>8425344.4375255406</v>
          </cell>
          <cell r="Q42">
            <v>15708220.143906999</v>
          </cell>
          <cell r="R42">
            <v>42447730.530345351</v>
          </cell>
          <cell r="S42">
            <v>79154547.157164395</v>
          </cell>
          <cell r="U42">
            <v>573343</v>
          </cell>
          <cell r="V42">
            <v>882561</v>
          </cell>
          <cell r="W42">
            <v>2569544</v>
          </cell>
          <cell r="X42">
            <v>8514675</v>
          </cell>
        </row>
        <row r="43">
          <cell r="O43">
            <v>13838930.147333838</v>
          </cell>
          <cell r="P43">
            <v>8803621.2708639689</v>
          </cell>
          <cell r="Q43">
            <v>16168136.035215829</v>
          </cell>
          <cell r="R43">
            <v>41427572.085624166</v>
          </cell>
          <cell r="S43">
            <v>80238259.539037794</v>
          </cell>
          <cell r="U43">
            <v>6371206</v>
          </cell>
          <cell r="V43">
            <v>2289890</v>
          </cell>
          <cell r="W43">
            <v>10312506</v>
          </cell>
          <cell r="X43">
            <v>10127907</v>
          </cell>
        </row>
        <row r="44">
          <cell r="O44">
            <v>14103814.475361705</v>
          </cell>
          <cell r="P44">
            <v>8465255.5940993298</v>
          </cell>
          <cell r="Q44">
            <v>14452666.932483979</v>
          </cell>
          <cell r="R44">
            <v>34004814.583080493</v>
          </cell>
          <cell r="S44">
            <v>71026551.585025504</v>
          </cell>
          <cell r="U44">
            <v>742130</v>
          </cell>
          <cell r="V44">
            <v>3778386</v>
          </cell>
          <cell r="W44">
            <v>3655754</v>
          </cell>
          <cell r="X44">
            <v>8680187</v>
          </cell>
        </row>
        <row r="45">
          <cell r="O45">
            <v>15784217.73365989</v>
          </cell>
          <cell r="P45">
            <v>8437094.0914586708</v>
          </cell>
          <cell r="Q45">
            <v>14453384.88868602</v>
          </cell>
          <cell r="R45">
            <v>36439477.252283514</v>
          </cell>
          <cell r="S45">
            <v>75114173.966088086</v>
          </cell>
          <cell r="U45">
            <v>324948</v>
          </cell>
          <cell r="V45">
            <v>485581</v>
          </cell>
          <cell r="W45">
            <v>3332580</v>
          </cell>
          <cell r="X45">
            <v>9518422</v>
          </cell>
        </row>
        <row r="46">
          <cell r="O46">
            <v>17776665.907286998</v>
          </cell>
          <cell r="P46">
            <v>8894551.5983342491</v>
          </cell>
          <cell r="Q46">
            <v>15173521.372718498</v>
          </cell>
          <cell r="R46">
            <v>32881662.327381182</v>
          </cell>
          <cell r="S46">
            <v>74726401.205720931</v>
          </cell>
          <cell r="U46">
            <v>1947817</v>
          </cell>
          <cell r="V46">
            <v>1394445</v>
          </cell>
          <cell r="W46">
            <v>2426814</v>
          </cell>
          <cell r="X46">
            <v>23547404</v>
          </cell>
        </row>
        <row r="47">
          <cell r="O47">
            <v>20514469</v>
          </cell>
          <cell r="P47">
            <v>10534795</v>
          </cell>
          <cell r="Q47">
            <v>17843905</v>
          </cell>
          <cell r="R47">
            <v>37396181</v>
          </cell>
          <cell r="S47">
            <v>86289350</v>
          </cell>
          <cell r="U47">
            <v>10059284</v>
          </cell>
          <cell r="V47">
            <v>1227528</v>
          </cell>
          <cell r="W47">
            <v>5925066</v>
          </cell>
          <cell r="X47">
            <v>7950367</v>
          </cell>
        </row>
        <row r="48">
          <cell r="O48">
            <v>25868450</v>
          </cell>
          <cell r="P48">
            <v>13881847</v>
          </cell>
          <cell r="Q48">
            <v>23423208</v>
          </cell>
          <cell r="R48">
            <v>49027236</v>
          </cell>
          <cell r="S48">
            <v>112200741</v>
          </cell>
          <cell r="U48">
            <v>2672918</v>
          </cell>
          <cell r="V48">
            <v>2295803</v>
          </cell>
          <cell r="W48">
            <v>17213668</v>
          </cell>
          <cell r="X48">
            <v>10177909</v>
          </cell>
        </row>
        <row r="49">
          <cell r="O49">
            <v>30357860</v>
          </cell>
          <cell r="P49">
            <v>15458506</v>
          </cell>
          <cell r="Q49">
            <v>27306202</v>
          </cell>
          <cell r="R49">
            <v>49927649</v>
          </cell>
          <cell r="S49">
            <v>123050217</v>
          </cell>
          <cell r="U49">
            <v>731759</v>
          </cell>
          <cell r="V49">
            <v>569877</v>
          </cell>
          <cell r="W49">
            <v>990613</v>
          </cell>
          <cell r="X49">
            <v>3738542</v>
          </cell>
        </row>
        <row r="50">
          <cell r="O50">
            <v>36780457</v>
          </cell>
          <cell r="P50">
            <v>17471646</v>
          </cell>
          <cell r="Q50">
            <v>31012304</v>
          </cell>
          <cell r="R50">
            <v>50116517</v>
          </cell>
          <cell r="S50">
            <v>135380924</v>
          </cell>
          <cell r="U50">
            <v>34527644</v>
          </cell>
          <cell r="V50">
            <v>872451</v>
          </cell>
          <cell r="W50">
            <v>115989785</v>
          </cell>
          <cell r="X50">
            <v>34201898</v>
          </cell>
        </row>
        <row r="51">
          <cell r="O51">
            <v>43562211</v>
          </cell>
          <cell r="P51">
            <v>19888512</v>
          </cell>
          <cell r="Q51">
            <v>36545725</v>
          </cell>
          <cell r="R51">
            <v>54703319</v>
          </cell>
          <cell r="S51">
            <v>154699767</v>
          </cell>
          <cell r="U51">
            <v>813430</v>
          </cell>
          <cell r="V51">
            <v>621501</v>
          </cell>
          <cell r="W51">
            <v>1842548</v>
          </cell>
          <cell r="X51">
            <v>4909932</v>
          </cell>
        </row>
        <row r="52">
          <cell r="O52">
            <v>59282257</v>
          </cell>
          <cell r="P52">
            <v>29704042</v>
          </cell>
          <cell r="Q52">
            <v>69945120</v>
          </cell>
          <cell r="R52">
            <v>60982886</v>
          </cell>
          <cell r="S52">
            <v>219914305</v>
          </cell>
          <cell r="U52">
            <v>2757645</v>
          </cell>
          <cell r="V52">
            <v>833793</v>
          </cell>
          <cell r="W52">
            <v>10105722</v>
          </cell>
          <cell r="X52">
            <v>5242698</v>
          </cell>
        </row>
        <row r="53">
          <cell r="O53">
            <v>73789694</v>
          </cell>
          <cell r="P53">
            <v>40565108</v>
          </cell>
          <cell r="Q53">
            <v>110187567</v>
          </cell>
          <cell r="R53">
            <v>65015817</v>
          </cell>
          <cell r="S53">
            <v>289558186</v>
          </cell>
          <cell r="U53">
            <v>1052325077</v>
          </cell>
          <cell r="V53">
            <v>1468028</v>
          </cell>
          <cell r="W53">
            <v>694640836</v>
          </cell>
          <cell r="X53">
            <v>448708416</v>
          </cell>
        </row>
        <row r="54">
          <cell r="O54">
            <v>81999709</v>
          </cell>
          <cell r="P54">
            <v>46363445</v>
          </cell>
          <cell r="Q54">
            <v>128275387</v>
          </cell>
          <cell r="R54">
            <v>70667217</v>
          </cell>
          <cell r="S54">
            <v>327305758</v>
          </cell>
          <cell r="U54">
            <v>3581024</v>
          </cell>
          <cell r="V54">
            <v>615469</v>
          </cell>
          <cell r="W54">
            <v>2522159</v>
          </cell>
          <cell r="X54">
            <v>9952501</v>
          </cell>
        </row>
        <row r="55">
          <cell r="O55">
            <v>89665314</v>
          </cell>
          <cell r="P55">
            <v>51529115</v>
          </cell>
          <cell r="Q55">
            <v>143236007</v>
          </cell>
          <cell r="R55">
            <v>70788779</v>
          </cell>
          <cell r="S55">
            <v>355219215</v>
          </cell>
          <cell r="U55">
            <v>1451547</v>
          </cell>
          <cell r="V55">
            <v>4059049</v>
          </cell>
          <cell r="W55">
            <v>9656553</v>
          </cell>
          <cell r="X55">
            <v>10829031</v>
          </cell>
        </row>
        <row r="56">
          <cell r="O56">
            <v>93230854</v>
          </cell>
          <cell r="P56">
            <v>52931755</v>
          </cell>
          <cell r="Q56">
            <v>151387931</v>
          </cell>
          <cell r="R56">
            <v>73325323</v>
          </cell>
          <cell r="S56">
            <v>370875863</v>
          </cell>
          <cell r="U56">
            <v>1329886</v>
          </cell>
          <cell r="V56">
            <v>19845538</v>
          </cell>
          <cell r="W56">
            <v>59069922</v>
          </cell>
          <cell r="X56">
            <v>5993038</v>
          </cell>
        </row>
        <row r="57">
          <cell r="O57">
            <v>99629727</v>
          </cell>
          <cell r="P57">
            <v>56334273</v>
          </cell>
          <cell r="Q57">
            <v>170159709</v>
          </cell>
          <cell r="R57">
            <v>80858142</v>
          </cell>
          <cell r="S57">
            <v>406981851</v>
          </cell>
          <cell r="U57">
            <v>10756644</v>
          </cell>
          <cell r="V57">
            <v>21291155</v>
          </cell>
          <cell r="W57">
            <v>21196895</v>
          </cell>
          <cell r="X57">
            <v>89893832</v>
          </cell>
        </row>
        <row r="58">
          <cell r="O58">
            <v>107104250</v>
          </cell>
          <cell r="P58">
            <v>60101696</v>
          </cell>
          <cell r="Q58">
            <v>183495510</v>
          </cell>
          <cell r="R58">
            <v>90250703</v>
          </cell>
          <cell r="S58">
            <v>440952159</v>
          </cell>
          <cell r="U58">
            <v>54343702</v>
          </cell>
          <cell r="V58">
            <v>6825640</v>
          </cell>
          <cell r="W58">
            <v>6485250</v>
          </cell>
          <cell r="X58">
            <v>22056019</v>
          </cell>
        </row>
        <row r="59">
          <cell r="O59">
            <v>114784032</v>
          </cell>
          <cell r="P59">
            <v>65642137</v>
          </cell>
          <cell r="Q59">
            <v>197640983</v>
          </cell>
          <cell r="R59">
            <v>99916064</v>
          </cell>
          <cell r="S59">
            <v>477983216</v>
          </cell>
          <cell r="U59">
            <v>691708</v>
          </cell>
          <cell r="V59">
            <v>1914066</v>
          </cell>
          <cell r="W59">
            <v>7234983</v>
          </cell>
          <cell r="X59">
            <v>20930082</v>
          </cell>
        </row>
        <row r="60">
          <cell r="O60">
            <v>122782019</v>
          </cell>
          <cell r="P60">
            <v>72124134</v>
          </cell>
          <cell r="Q60">
            <v>212320998</v>
          </cell>
          <cell r="R60">
            <v>110352614</v>
          </cell>
          <cell r="S60">
            <v>517579765</v>
          </cell>
          <cell r="U60">
            <v>17666484</v>
          </cell>
          <cell r="V60">
            <v>9924249</v>
          </cell>
          <cell r="W60">
            <v>90056094</v>
          </cell>
          <cell r="X60">
            <v>43798404</v>
          </cell>
        </row>
        <row r="61">
          <cell r="O61">
            <v>127007324</v>
          </cell>
          <cell r="P61">
            <v>76436084</v>
          </cell>
          <cell r="Q61">
            <v>218795204</v>
          </cell>
          <cell r="R61">
            <v>119744188</v>
          </cell>
          <cell r="S61">
            <v>541982800</v>
          </cell>
          <cell r="U61">
            <v>11307700</v>
          </cell>
          <cell r="V61">
            <v>10446690</v>
          </cell>
          <cell r="W61">
            <v>15013827</v>
          </cell>
          <cell r="X61">
            <v>46505613</v>
          </cell>
        </row>
        <row r="62">
          <cell r="O62">
            <v>126002753</v>
          </cell>
          <cell r="P62">
            <v>77008517</v>
          </cell>
          <cell r="Q62">
            <v>212533686</v>
          </cell>
          <cell r="R62">
            <v>117739636</v>
          </cell>
          <cell r="S62">
            <v>533284592</v>
          </cell>
          <cell r="U62">
            <v>41202051</v>
          </cell>
          <cell r="V62">
            <v>278027548</v>
          </cell>
          <cell r="W62">
            <v>711304289</v>
          </cell>
          <cell r="X62">
            <v>75451978</v>
          </cell>
        </row>
        <row r="63">
          <cell r="O63">
            <v>122707170</v>
          </cell>
          <cell r="P63">
            <v>77031486</v>
          </cell>
          <cell r="Q63">
            <v>201509514</v>
          </cell>
          <cell r="R63">
            <v>115484141</v>
          </cell>
          <cell r="S63">
            <v>516732311</v>
          </cell>
          <cell r="U63">
            <v>3173488</v>
          </cell>
          <cell r="V63">
            <v>1715171</v>
          </cell>
          <cell r="W63">
            <v>9562329</v>
          </cell>
          <cell r="X63">
            <v>12400120</v>
          </cell>
        </row>
        <row r="64">
          <cell r="O64">
            <v>121980686</v>
          </cell>
          <cell r="P64">
            <v>76506580</v>
          </cell>
          <cell r="Q64">
            <v>194433202</v>
          </cell>
          <cell r="R64">
            <v>116765056</v>
          </cell>
          <cell r="S64">
            <v>509685524</v>
          </cell>
          <cell r="U64">
            <v>6575515</v>
          </cell>
          <cell r="V64">
            <v>1359080</v>
          </cell>
          <cell r="W64">
            <v>16737398</v>
          </cell>
          <cell r="X64">
            <v>37802737</v>
          </cell>
        </row>
        <row r="65">
          <cell r="O65">
            <v>121816746</v>
          </cell>
          <cell r="P65">
            <v>73290165</v>
          </cell>
          <cell r="Q65">
            <v>186265421</v>
          </cell>
          <cell r="R65">
            <v>121483867</v>
          </cell>
          <cell r="S65">
            <v>502856199</v>
          </cell>
          <cell r="U65">
            <v>7014707</v>
          </cell>
          <cell r="V65">
            <v>3030413</v>
          </cell>
          <cell r="W65">
            <v>40866516</v>
          </cell>
          <cell r="X65">
            <v>53200604</v>
          </cell>
        </row>
        <row r="66">
          <cell r="O66">
            <v>126003604</v>
          </cell>
          <cell r="P66">
            <v>71903454</v>
          </cell>
          <cell r="Q66">
            <v>186593127</v>
          </cell>
          <cell r="R66">
            <v>130437447</v>
          </cell>
          <cell r="S66">
            <v>514937632</v>
          </cell>
          <cell r="U66">
            <v>26615728</v>
          </cell>
          <cell r="V66">
            <v>1460970</v>
          </cell>
          <cell r="W66">
            <v>56745728</v>
          </cell>
          <cell r="X66">
            <v>51835915</v>
          </cell>
        </row>
      </sheetData>
      <sheetData sheetId="3">
        <row r="1">
          <cell r="E1">
            <v>44469</v>
          </cell>
        </row>
        <row r="2">
          <cell r="E2">
            <v>44561</v>
          </cell>
        </row>
        <row r="27">
          <cell r="S27">
            <v>0</v>
          </cell>
          <cell r="T27">
            <v>0</v>
          </cell>
          <cell r="U27">
            <v>0</v>
          </cell>
          <cell r="V27">
            <v>0</v>
          </cell>
          <cell r="X27">
            <v>10634874</v>
          </cell>
          <cell r="Y27">
            <v>20630853</v>
          </cell>
          <cell r="Z27">
            <v>18946421</v>
          </cell>
          <cell r="AA27">
            <v>259290</v>
          </cell>
        </row>
        <row r="28">
          <cell r="S28">
            <v>0</v>
          </cell>
          <cell r="T28">
            <v>0</v>
          </cell>
          <cell r="U28">
            <v>0</v>
          </cell>
          <cell r="V28">
            <v>0</v>
          </cell>
          <cell r="X28">
            <v>54085975</v>
          </cell>
          <cell r="Y28">
            <v>6175709</v>
          </cell>
          <cell r="Z28">
            <v>4829039</v>
          </cell>
          <cell r="AA28">
            <v>502759</v>
          </cell>
        </row>
        <row r="29">
          <cell r="S29">
            <v>0</v>
          </cell>
          <cell r="T29">
            <v>0</v>
          </cell>
          <cell r="U29">
            <v>0</v>
          </cell>
          <cell r="V29">
            <v>0</v>
          </cell>
          <cell r="X29">
            <v>520624</v>
          </cell>
          <cell r="Y29">
            <v>1618066</v>
          </cell>
          <cell r="Z29">
            <v>2847173</v>
          </cell>
          <cell r="AA29">
            <v>30748</v>
          </cell>
        </row>
        <row r="30">
          <cell r="S30">
            <v>0</v>
          </cell>
          <cell r="T30">
            <v>0</v>
          </cell>
          <cell r="U30">
            <v>0</v>
          </cell>
          <cell r="V30">
            <v>0</v>
          </cell>
          <cell r="X30">
            <v>17443601</v>
          </cell>
          <cell r="Y30">
            <v>9461279</v>
          </cell>
          <cell r="Z30">
            <v>86469178</v>
          </cell>
          <cell r="AA30">
            <v>339352</v>
          </cell>
        </row>
        <row r="31">
          <cell r="S31">
            <v>0</v>
          </cell>
          <cell r="T31">
            <v>0</v>
          </cell>
          <cell r="U31">
            <v>0</v>
          </cell>
          <cell r="V31">
            <v>0</v>
          </cell>
          <cell r="X31">
            <v>10985881</v>
          </cell>
          <cell r="Y31">
            <v>9531194</v>
          </cell>
          <cell r="Z31">
            <v>12167890</v>
          </cell>
          <cell r="AA31">
            <v>446449</v>
          </cell>
        </row>
        <row r="32">
          <cell r="S32">
            <v>35158860</v>
          </cell>
          <cell r="T32">
            <v>249537780</v>
          </cell>
          <cell r="U32">
            <v>626453113</v>
          </cell>
          <cell r="V32">
            <v>3457072</v>
          </cell>
          <cell r="X32">
            <v>2705963</v>
          </cell>
          <cell r="Y32">
            <v>7641292</v>
          </cell>
          <cell r="Z32">
            <v>21818214</v>
          </cell>
          <cell r="AA32">
            <v>481121</v>
          </cell>
        </row>
        <row r="33">
          <cell r="S33">
            <v>0</v>
          </cell>
          <cell r="T33">
            <v>0</v>
          </cell>
          <cell r="U33">
            <v>0</v>
          </cell>
          <cell r="V33">
            <v>0</v>
          </cell>
          <cell r="X33">
            <v>2506795</v>
          </cell>
          <cell r="Y33">
            <v>1138023</v>
          </cell>
          <cell r="Z33">
            <v>6753481</v>
          </cell>
          <cell r="AA33">
            <v>282709</v>
          </cell>
        </row>
        <row r="34">
          <cell r="S34">
            <v>0</v>
          </cell>
          <cell r="T34">
            <v>0</v>
          </cell>
          <cell r="U34">
            <v>0</v>
          </cell>
          <cell r="V34">
            <v>0</v>
          </cell>
          <cell r="X34">
            <v>4697299</v>
          </cell>
          <cell r="Y34">
            <v>822616</v>
          </cell>
          <cell r="Z34">
            <v>9989620</v>
          </cell>
          <cell r="AA34">
            <v>2640490</v>
          </cell>
        </row>
        <row r="35">
          <cell r="S35">
            <v>28567</v>
          </cell>
          <cell r="T35">
            <v>1627147</v>
          </cell>
          <cell r="U35">
            <v>6548044</v>
          </cell>
          <cell r="V35">
            <v>6672</v>
          </cell>
          <cell r="X35">
            <v>5382531</v>
          </cell>
          <cell r="Y35">
            <v>452157</v>
          </cell>
          <cell r="Z35">
            <v>20748163</v>
          </cell>
          <cell r="AA35">
            <v>446954</v>
          </cell>
        </row>
        <row r="36">
          <cell r="S36">
            <v>361331</v>
          </cell>
          <cell r="T36">
            <v>0</v>
          </cell>
          <cell r="U36">
            <v>15952667</v>
          </cell>
          <cell r="V36">
            <v>15380</v>
          </cell>
          <cell r="X36">
            <v>17128270</v>
          </cell>
          <cell r="Y36">
            <v>497091</v>
          </cell>
          <cell r="Z36">
            <v>21214900</v>
          </cell>
          <cell r="AA36">
            <v>1257778</v>
          </cell>
        </row>
      </sheetData>
      <sheetData sheetId="4">
        <row r="1">
          <cell r="C1">
            <v>44530</v>
          </cell>
        </row>
        <row r="5">
          <cell r="F5">
            <v>1804687925.4000003</v>
          </cell>
          <cell r="L5">
            <v>3876812.4558999953</v>
          </cell>
        </row>
        <row r="6">
          <cell r="F6">
            <v>9887459841.9999809</v>
          </cell>
          <cell r="L6">
            <v>17070756.301499959</v>
          </cell>
        </row>
        <row r="7">
          <cell r="F7">
            <v>997240806.39999998</v>
          </cell>
          <cell r="L7">
            <v>3387962.1682000034</v>
          </cell>
        </row>
        <row r="8">
          <cell r="F8">
            <v>2014725916.0000007</v>
          </cell>
          <cell r="L8">
            <v>4499729.2594000148</v>
          </cell>
        </row>
        <row r="9">
          <cell r="F9">
            <v>1530356921.6000021</v>
          </cell>
          <cell r="L9">
            <v>2323305.2205000045</v>
          </cell>
        </row>
        <row r="10">
          <cell r="F10">
            <v>21261039380.79995</v>
          </cell>
          <cell r="L10">
            <v>63906220.752699807</v>
          </cell>
        </row>
        <row r="11">
          <cell r="F11">
            <v>1237804140.7999992</v>
          </cell>
          <cell r="L11">
            <v>3471032.8236000021</v>
          </cell>
        </row>
        <row r="12">
          <cell r="F12">
            <v>6298584266.7999945</v>
          </cell>
          <cell r="L12">
            <v>11365591.90910005</v>
          </cell>
        </row>
        <row r="13">
          <cell r="F13">
            <v>2662500</v>
          </cell>
          <cell r="L13">
            <v>5383.4449000000013</v>
          </cell>
        </row>
        <row r="14">
          <cell r="F14">
            <v>165519848.60000002</v>
          </cell>
          <cell r="L14">
            <v>245176.89489999978</v>
          </cell>
        </row>
        <row r="15">
          <cell r="F15">
            <v>1206001315</v>
          </cell>
          <cell r="L15">
            <v>3340120.0036000102</v>
          </cell>
        </row>
        <row r="16">
          <cell r="F16">
            <v>10451060060.200012</v>
          </cell>
          <cell r="L16">
            <v>21978028.239300076</v>
          </cell>
        </row>
        <row r="17">
          <cell r="F17">
            <v>78471148</v>
          </cell>
          <cell r="L17">
            <v>159263.21309999996</v>
          </cell>
        </row>
        <row r="18">
          <cell r="F18">
            <v>1670749205.6000001</v>
          </cell>
          <cell r="L18">
            <v>3277660.3527999981</v>
          </cell>
        </row>
        <row r="19">
          <cell r="F19">
            <v>76048922.200000003</v>
          </cell>
          <cell r="L19">
            <v>210724.99700000018</v>
          </cell>
        </row>
        <row r="30">
          <cell r="F30">
            <v>1804687925.4000003</v>
          </cell>
          <cell r="L30">
            <v>4548899.4487999938</v>
          </cell>
        </row>
        <row r="31">
          <cell r="F31">
            <v>9887459841.9999809</v>
          </cell>
          <cell r="L31">
            <v>17498174.639799908</v>
          </cell>
        </row>
        <row r="32">
          <cell r="F32">
            <v>997240806.39999998</v>
          </cell>
          <cell r="L32">
            <v>3020663.1754000057</v>
          </cell>
        </row>
        <row r="33">
          <cell r="F33">
            <v>2014725916.0000007</v>
          </cell>
          <cell r="L33">
            <v>3765874.1141999923</v>
          </cell>
        </row>
        <row r="34">
          <cell r="F34">
            <v>1530356921.6000021</v>
          </cell>
          <cell r="L34">
            <v>2435979.9745000098</v>
          </cell>
        </row>
        <row r="35">
          <cell r="F35">
            <v>21261039380.79995</v>
          </cell>
          <cell r="L35">
            <v>84217490.379300013</v>
          </cell>
        </row>
        <row r="36">
          <cell r="F36">
            <v>1237804140.7999992</v>
          </cell>
          <cell r="L36">
            <v>4825066.9154999973</v>
          </cell>
        </row>
        <row r="37">
          <cell r="F37">
            <v>6298584266.7999945</v>
          </cell>
          <cell r="L37">
            <v>12681345.163499981</v>
          </cell>
        </row>
        <row r="38">
          <cell r="F38">
            <v>2662500</v>
          </cell>
          <cell r="L38">
            <v>3016.1429999999996</v>
          </cell>
        </row>
        <row r="39">
          <cell r="F39">
            <v>165519848.60000002</v>
          </cell>
          <cell r="L39">
            <v>153622.61349999983</v>
          </cell>
        </row>
        <row r="40">
          <cell r="F40">
            <v>1206001315</v>
          </cell>
          <cell r="L40">
            <v>2937945.9132000105</v>
          </cell>
        </row>
        <row r="41">
          <cell r="F41">
            <v>10451060060.200012</v>
          </cell>
          <cell r="L41">
            <v>27255589.930700056</v>
          </cell>
        </row>
        <row r="42">
          <cell r="F42">
            <v>78471148</v>
          </cell>
          <cell r="L42">
            <v>118742.12569999998</v>
          </cell>
        </row>
        <row r="43">
          <cell r="F43">
            <v>1670749205.6000001</v>
          </cell>
          <cell r="L43">
            <v>3250485.3890000032</v>
          </cell>
        </row>
        <row r="44">
          <cell r="F44">
            <v>76048922.200000003</v>
          </cell>
          <cell r="L44">
            <v>166050.29439999998</v>
          </cell>
        </row>
        <row r="52">
          <cell r="F52">
            <v>1804687925.4000003</v>
          </cell>
          <cell r="L52">
            <v>4524707.5161000052</v>
          </cell>
        </row>
        <row r="53">
          <cell r="F53">
            <v>9887459841.9999809</v>
          </cell>
          <cell r="L53">
            <v>29078956.440799937</v>
          </cell>
        </row>
        <row r="54">
          <cell r="F54">
            <v>997240806.39999998</v>
          </cell>
          <cell r="L54">
            <v>3988656.7256999994</v>
          </cell>
        </row>
        <row r="55">
          <cell r="F55">
            <v>2014725916.0000007</v>
          </cell>
          <cell r="L55">
            <v>7265829.0447000274</v>
          </cell>
        </row>
        <row r="56">
          <cell r="F56">
            <v>1530356921.6000021</v>
          </cell>
          <cell r="L56">
            <v>3764721.4440000006</v>
          </cell>
        </row>
        <row r="57">
          <cell r="F57">
            <v>21261039380.79995</v>
          </cell>
          <cell r="L57">
            <v>64508914.130700573</v>
          </cell>
        </row>
        <row r="58">
          <cell r="F58">
            <v>1237804140.7999992</v>
          </cell>
          <cell r="L58">
            <v>3012546.4668000024</v>
          </cell>
        </row>
        <row r="59">
          <cell r="F59">
            <v>6298584266.7999945</v>
          </cell>
          <cell r="L59">
            <v>13787095.98309996</v>
          </cell>
        </row>
        <row r="60">
          <cell r="F60">
            <v>2662500</v>
          </cell>
          <cell r="L60">
            <v>8494.0414999999975</v>
          </cell>
        </row>
        <row r="61">
          <cell r="F61">
            <v>165519848.60000002</v>
          </cell>
          <cell r="L61">
            <v>405247.73399999982</v>
          </cell>
        </row>
        <row r="62">
          <cell r="F62">
            <v>1206001315</v>
          </cell>
          <cell r="L62">
            <v>5658861.3615999846</v>
          </cell>
        </row>
        <row r="63">
          <cell r="F63">
            <v>10451060060.200012</v>
          </cell>
          <cell r="L63">
            <v>27423272.636400063</v>
          </cell>
        </row>
        <row r="64">
          <cell r="F64">
            <v>78471148</v>
          </cell>
          <cell r="L64">
            <v>213970.17899999989</v>
          </cell>
        </row>
        <row r="65">
          <cell r="F65">
            <v>1670749205.6000001</v>
          </cell>
          <cell r="L65">
            <v>4842554.7525999956</v>
          </cell>
        </row>
        <row r="66">
          <cell r="F66">
            <v>76048922.200000003</v>
          </cell>
          <cell r="L66">
            <v>299988.91439999989</v>
          </cell>
        </row>
        <row r="72">
          <cell r="F72">
            <v>1804687925.4000003</v>
          </cell>
          <cell r="L72">
            <v>3847033.702940464</v>
          </cell>
        </row>
        <row r="73">
          <cell r="F73">
            <v>9887459841.9999809</v>
          </cell>
          <cell r="L73">
            <v>17275616.980577648</v>
          </cell>
        </row>
        <row r="74">
          <cell r="F74">
            <v>997240806.39999998</v>
          </cell>
          <cell r="L74">
            <v>3294081.4538235217</v>
          </cell>
        </row>
        <row r="75">
          <cell r="F75">
            <v>2014725916.0000007</v>
          </cell>
          <cell r="L75">
            <v>3012602.7515701056</v>
          </cell>
        </row>
        <row r="76">
          <cell r="F76">
            <v>1530356921.6000021</v>
          </cell>
          <cell r="L76">
            <v>2837065.1986186509</v>
          </cell>
        </row>
        <row r="77">
          <cell r="F77">
            <v>21261039380.79995</v>
          </cell>
          <cell r="L77">
            <v>54544033.440939516</v>
          </cell>
        </row>
        <row r="78">
          <cell r="F78">
            <v>1237804140.7999992</v>
          </cell>
          <cell r="L78">
            <v>3763066.1351780891</v>
          </cell>
        </row>
        <row r="79">
          <cell r="F79">
            <v>6298584266.7999945</v>
          </cell>
          <cell r="L79">
            <v>16053377.019466832</v>
          </cell>
        </row>
        <row r="80">
          <cell r="F80">
            <v>2662500</v>
          </cell>
          <cell r="L80">
            <v>4100.6348673105203</v>
          </cell>
        </row>
        <row r="81">
          <cell r="F81">
            <v>165519848.60000002</v>
          </cell>
          <cell r="L81">
            <v>184362.66230026822</v>
          </cell>
        </row>
        <row r="82">
          <cell r="F82">
            <v>1206001315</v>
          </cell>
          <cell r="L82">
            <v>3015155.8296630383</v>
          </cell>
        </row>
        <row r="83">
          <cell r="F83">
            <v>10451060060.200012</v>
          </cell>
          <cell r="L83">
            <v>17753371.154474422</v>
          </cell>
        </row>
        <row r="84">
          <cell r="F84">
            <v>78471148</v>
          </cell>
          <cell r="L84">
            <v>147345.78761386871</v>
          </cell>
        </row>
        <row r="85">
          <cell r="F85">
            <v>1670749205.6000001</v>
          </cell>
          <cell r="L85">
            <v>2829773.0474085808</v>
          </cell>
        </row>
        <row r="86">
          <cell r="F86">
            <v>76048922.200000003</v>
          </cell>
          <cell r="L86">
            <v>157371.82369341704</v>
          </cell>
        </row>
      </sheetData>
      <sheetData sheetId="5">
        <row r="1">
          <cell r="B1">
            <v>44469</v>
          </cell>
        </row>
        <row r="2">
          <cell r="B2">
            <v>44561</v>
          </cell>
        </row>
        <row r="45">
          <cell r="B45">
            <v>162843785</v>
          </cell>
          <cell r="C45">
            <v>196787659</v>
          </cell>
          <cell r="D45">
            <v>232372931</v>
          </cell>
          <cell r="E45">
            <v>242523103</v>
          </cell>
          <cell r="F45">
            <v>245226899</v>
          </cell>
          <cell r="G45">
            <v>246785273</v>
          </cell>
          <cell r="H45">
            <v>247418887</v>
          </cell>
          <cell r="I45">
            <v>247576732</v>
          </cell>
          <cell r="J45">
            <v>247574076</v>
          </cell>
        </row>
        <row r="47">
          <cell r="B47">
            <v>170023007</v>
          </cell>
          <cell r="C47">
            <v>203479515</v>
          </cell>
          <cell r="D47">
            <v>240438584</v>
          </cell>
          <cell r="E47">
            <v>246180482</v>
          </cell>
          <cell r="F47">
            <v>247026668</v>
          </cell>
          <cell r="G47">
            <v>247421704</v>
          </cell>
          <cell r="H47">
            <v>247519642</v>
          </cell>
          <cell r="I47">
            <v>247594084</v>
          </cell>
          <cell r="J47">
            <v>247574076</v>
          </cell>
        </row>
        <row r="49">
          <cell r="B49">
            <v>124049953</v>
          </cell>
          <cell r="C49">
            <v>143358632</v>
          </cell>
          <cell r="D49">
            <v>151995425</v>
          </cell>
          <cell r="E49">
            <v>154466005</v>
          </cell>
          <cell r="F49">
            <v>156218419</v>
          </cell>
          <cell r="G49">
            <v>156541239</v>
          </cell>
          <cell r="H49">
            <v>156580239</v>
          </cell>
          <cell r="I49">
            <v>156627933</v>
          </cell>
          <cell r="J49">
            <v>156632191</v>
          </cell>
        </row>
        <row r="51">
          <cell r="B51">
            <v>127452940</v>
          </cell>
          <cell r="C51">
            <v>147008796</v>
          </cell>
          <cell r="D51">
            <v>154929835</v>
          </cell>
          <cell r="E51">
            <v>155922478</v>
          </cell>
          <cell r="F51">
            <v>156569090</v>
          </cell>
          <cell r="G51">
            <v>156577214</v>
          </cell>
          <cell r="H51">
            <v>156580239</v>
          </cell>
          <cell r="I51">
            <v>156627933</v>
          </cell>
          <cell r="J51">
            <v>156632191</v>
          </cell>
        </row>
        <row r="53">
          <cell r="B53">
            <v>151510397</v>
          </cell>
          <cell r="C53">
            <v>178253200</v>
          </cell>
          <cell r="D53">
            <v>187490071</v>
          </cell>
          <cell r="E53">
            <v>191068370</v>
          </cell>
          <cell r="F53">
            <v>191825376</v>
          </cell>
          <cell r="G53">
            <v>192297131</v>
          </cell>
          <cell r="H53">
            <v>192389021</v>
          </cell>
          <cell r="I53">
            <v>192424692</v>
          </cell>
        </row>
        <row r="55">
          <cell r="B55">
            <v>157426480</v>
          </cell>
          <cell r="C55">
            <v>183365534</v>
          </cell>
          <cell r="D55">
            <v>190277645</v>
          </cell>
          <cell r="E55">
            <v>191866051</v>
          </cell>
          <cell r="F55">
            <v>192056094</v>
          </cell>
          <cell r="G55">
            <v>192342131</v>
          </cell>
          <cell r="H55">
            <v>192402821</v>
          </cell>
          <cell r="I55">
            <v>192424692</v>
          </cell>
        </row>
        <row r="57">
          <cell r="B57">
            <v>173851321</v>
          </cell>
          <cell r="C57">
            <v>200068627</v>
          </cell>
          <cell r="D57">
            <v>206343457</v>
          </cell>
          <cell r="E57">
            <v>208326698</v>
          </cell>
          <cell r="F57">
            <v>209062544</v>
          </cell>
          <cell r="G57">
            <v>209155773</v>
          </cell>
          <cell r="H57">
            <v>209260220</v>
          </cell>
        </row>
        <row r="59">
          <cell r="B59">
            <v>183265977</v>
          </cell>
          <cell r="C59">
            <v>204238612</v>
          </cell>
          <cell r="D59">
            <v>208541167</v>
          </cell>
          <cell r="E59">
            <v>209008196</v>
          </cell>
          <cell r="F59">
            <v>209335360</v>
          </cell>
          <cell r="G59">
            <v>209188944</v>
          </cell>
          <cell r="H59">
            <v>209281728</v>
          </cell>
        </row>
        <row r="61">
          <cell r="B61">
            <v>486123737</v>
          </cell>
          <cell r="C61">
            <v>553331928</v>
          </cell>
          <cell r="D61">
            <v>561570000</v>
          </cell>
          <cell r="E61">
            <v>563808647</v>
          </cell>
          <cell r="F61">
            <v>564583045</v>
          </cell>
          <cell r="G61">
            <v>565034833</v>
          </cell>
        </row>
        <row r="63">
          <cell r="B63">
            <v>498091696</v>
          </cell>
          <cell r="C63">
            <v>556120188</v>
          </cell>
          <cell r="D63">
            <v>562298313</v>
          </cell>
          <cell r="E63">
            <v>564014455</v>
          </cell>
          <cell r="F63">
            <v>564747319</v>
          </cell>
          <cell r="G63">
            <v>565099448</v>
          </cell>
        </row>
        <row r="65">
          <cell r="B65">
            <v>634032864</v>
          </cell>
          <cell r="C65">
            <v>775471701</v>
          </cell>
          <cell r="D65">
            <v>803500800</v>
          </cell>
          <cell r="E65">
            <v>815757269</v>
          </cell>
          <cell r="F65">
            <v>822750195</v>
          </cell>
        </row>
        <row r="67">
          <cell r="B67">
            <v>665246722</v>
          </cell>
          <cell r="C67">
            <v>791814275</v>
          </cell>
          <cell r="D67">
            <v>816792228</v>
          </cell>
          <cell r="E67">
            <v>822535776</v>
          </cell>
          <cell r="F67">
            <v>825860304</v>
          </cell>
        </row>
        <row r="69">
          <cell r="B69">
            <v>181011401</v>
          </cell>
          <cell r="C69">
            <v>217041729</v>
          </cell>
          <cell r="D69">
            <v>220050428</v>
          </cell>
          <cell r="E69">
            <v>220819802</v>
          </cell>
        </row>
        <row r="71">
          <cell r="B71">
            <v>186500396</v>
          </cell>
          <cell r="C71">
            <v>218189068</v>
          </cell>
          <cell r="D71">
            <v>220721213</v>
          </cell>
          <cell r="E71">
            <v>221225150</v>
          </cell>
        </row>
        <row r="73">
          <cell r="B73">
            <v>276104166</v>
          </cell>
          <cell r="C73">
            <v>316560476</v>
          </cell>
          <cell r="D73">
            <v>323294161</v>
          </cell>
        </row>
        <row r="75">
          <cell r="B75">
            <v>283698005</v>
          </cell>
          <cell r="C75">
            <v>318857544</v>
          </cell>
          <cell r="D75">
            <v>324427623</v>
          </cell>
        </row>
        <row r="77">
          <cell r="B77">
            <v>322633564</v>
          </cell>
          <cell r="C77">
            <v>384159078</v>
          </cell>
        </row>
        <row r="79">
          <cell r="B79">
            <v>338256149</v>
          </cell>
          <cell r="C79">
            <v>390272459</v>
          </cell>
        </row>
        <row r="81">
          <cell r="B81">
            <v>401805115</v>
          </cell>
        </row>
        <row r="83">
          <cell r="B83">
            <v>421875744</v>
          </cell>
        </row>
      </sheetData>
      <sheetData sheetId="6"/>
      <sheetData sheetId="7">
        <row r="5">
          <cell r="L5">
            <v>857250899.15999997</v>
          </cell>
        </row>
      </sheetData>
      <sheetData sheetId="8">
        <row r="25">
          <cell r="B25">
            <v>24771378</v>
          </cell>
        </row>
        <row r="26">
          <cell r="E26">
            <v>96214511</v>
          </cell>
          <cell r="F26">
            <v>77155</v>
          </cell>
        </row>
        <row r="27">
          <cell r="E27">
            <v>112131482</v>
          </cell>
          <cell r="F27">
            <v>89431</v>
          </cell>
        </row>
        <row r="28">
          <cell r="E28">
            <v>70018382</v>
          </cell>
          <cell r="F28">
            <v>54952</v>
          </cell>
        </row>
        <row r="29">
          <cell r="E29">
            <v>71740155</v>
          </cell>
          <cell r="F29">
            <v>54742</v>
          </cell>
        </row>
        <row r="30">
          <cell r="E30">
            <v>108632729</v>
          </cell>
          <cell r="F30">
            <v>82182</v>
          </cell>
        </row>
        <row r="31">
          <cell r="E31">
            <v>111540208</v>
          </cell>
          <cell r="F31">
            <v>83114</v>
          </cell>
        </row>
        <row r="32">
          <cell r="E32">
            <v>81734680</v>
          </cell>
          <cell r="F32">
            <v>60544</v>
          </cell>
        </row>
        <row r="33">
          <cell r="E33">
            <v>77867785</v>
          </cell>
          <cell r="F33">
            <v>55592</v>
          </cell>
        </row>
        <row r="34">
          <cell r="E34">
            <v>111616003</v>
          </cell>
          <cell r="F34">
            <v>79155</v>
          </cell>
        </row>
        <row r="35">
          <cell r="E35">
            <v>128096479</v>
          </cell>
          <cell r="F35">
            <v>89874</v>
          </cell>
        </row>
        <row r="36">
          <cell r="E36">
            <v>86711448</v>
          </cell>
          <cell r="F36">
            <v>60646</v>
          </cell>
        </row>
        <row r="37">
          <cell r="E37">
            <v>85327979</v>
          </cell>
          <cell r="F37">
            <v>57651</v>
          </cell>
        </row>
        <row r="38">
          <cell r="E38">
            <v>122581230</v>
          </cell>
          <cell r="F38">
            <v>82158</v>
          </cell>
        </row>
        <row r="39">
          <cell r="E39">
            <v>127421809</v>
          </cell>
          <cell r="F39">
            <v>84402</v>
          </cell>
        </row>
        <row r="40">
          <cell r="E40">
            <v>87342988</v>
          </cell>
          <cell r="F40">
            <v>57308</v>
          </cell>
        </row>
        <row r="41">
          <cell r="E41">
            <v>84557230</v>
          </cell>
          <cell r="F41">
            <v>54113</v>
          </cell>
        </row>
        <row r="42">
          <cell r="E42">
            <v>125845764</v>
          </cell>
          <cell r="F42">
            <v>79991</v>
          </cell>
        </row>
        <row r="43">
          <cell r="E43">
            <v>123784247</v>
          </cell>
          <cell r="F43">
            <v>77932</v>
          </cell>
        </row>
        <row r="44">
          <cell r="E44">
            <v>81959449</v>
          </cell>
          <cell r="F44">
            <v>51030</v>
          </cell>
        </row>
        <row r="45">
          <cell r="E45">
            <v>79037984</v>
          </cell>
          <cell r="F45">
            <v>50991</v>
          </cell>
        </row>
        <row r="46">
          <cell r="E46">
            <v>114547681</v>
          </cell>
          <cell r="F46">
            <v>73614</v>
          </cell>
        </row>
        <row r="47">
          <cell r="E47">
            <v>108614623</v>
          </cell>
          <cell r="F47">
            <v>68864</v>
          </cell>
        </row>
        <row r="48">
          <cell r="E48">
            <v>73697340</v>
          </cell>
          <cell r="F48">
            <v>45960</v>
          </cell>
        </row>
        <row r="49">
          <cell r="E49">
            <v>71679332</v>
          </cell>
          <cell r="F49">
            <v>44101</v>
          </cell>
        </row>
        <row r="50">
          <cell r="E50">
            <v>104163394</v>
          </cell>
          <cell r="F50">
            <v>63851</v>
          </cell>
        </row>
        <row r="51">
          <cell r="E51">
            <v>101951681</v>
          </cell>
          <cell r="F51">
            <v>61408</v>
          </cell>
        </row>
        <row r="52">
          <cell r="E52">
            <v>68300637</v>
          </cell>
          <cell r="F52">
            <v>40418</v>
          </cell>
        </row>
        <row r="53">
          <cell r="E53">
            <v>65036872</v>
          </cell>
          <cell r="F53">
            <v>39758</v>
          </cell>
        </row>
        <row r="54">
          <cell r="E54">
            <v>99948528</v>
          </cell>
          <cell r="F54">
            <v>60805</v>
          </cell>
        </row>
        <row r="55">
          <cell r="E55">
            <v>97063357</v>
          </cell>
          <cell r="F55">
            <v>57547</v>
          </cell>
        </row>
        <row r="56">
          <cell r="E56">
            <v>65697652</v>
          </cell>
          <cell r="F56">
            <v>38375</v>
          </cell>
        </row>
        <row r="57">
          <cell r="E57">
            <v>63498682</v>
          </cell>
          <cell r="F57">
            <v>38302</v>
          </cell>
        </row>
        <row r="58">
          <cell r="E58">
            <v>98472763</v>
          </cell>
          <cell r="F58">
            <v>59374</v>
          </cell>
        </row>
        <row r="59">
          <cell r="E59">
            <v>98544861</v>
          </cell>
          <cell r="F59">
            <v>57963</v>
          </cell>
        </row>
        <row r="60">
          <cell r="E60">
            <v>65820531</v>
          </cell>
          <cell r="F60">
            <v>37911</v>
          </cell>
        </row>
        <row r="61">
          <cell r="E61">
            <v>66582420</v>
          </cell>
          <cell r="F61">
            <v>39057</v>
          </cell>
        </row>
        <row r="62">
          <cell r="E62">
            <v>103031428</v>
          </cell>
          <cell r="F62">
            <v>60541</v>
          </cell>
        </row>
        <row r="63">
          <cell r="E63">
            <v>105341091</v>
          </cell>
          <cell r="F63">
            <v>59878</v>
          </cell>
        </row>
        <row r="64">
          <cell r="E64">
            <v>72365308</v>
          </cell>
          <cell r="F64">
            <v>39807</v>
          </cell>
        </row>
      </sheetData>
      <sheetData sheetId="9">
        <row r="23">
          <cell r="X23">
            <v>25507925</v>
          </cell>
          <cell r="Y23">
            <v>121498534</v>
          </cell>
        </row>
        <row r="24">
          <cell r="Y24">
            <v>59500283</v>
          </cell>
        </row>
        <row r="25">
          <cell r="Y25">
            <v>147624220</v>
          </cell>
        </row>
        <row r="26">
          <cell r="Y26">
            <v>4775030</v>
          </cell>
        </row>
        <row r="273">
          <cell r="J273">
            <v>2.1137730087108535</v>
          </cell>
        </row>
        <row r="274">
          <cell r="J274">
            <v>2.0155786842906278</v>
          </cell>
        </row>
        <row r="275">
          <cell r="J275">
            <v>1.9286250079478591</v>
          </cell>
        </row>
        <row r="276">
          <cell r="J276">
            <v>1.9239964550740354</v>
          </cell>
        </row>
        <row r="277">
          <cell r="J277">
            <v>1.8364634726042233</v>
          </cell>
        </row>
        <row r="278">
          <cell r="G278">
            <v>219412771.41374999</v>
          </cell>
          <cell r="J278">
            <v>1.7320113079002217</v>
          </cell>
          <cell r="O278">
            <v>380025401.18634152</v>
          </cell>
        </row>
        <row r="279">
          <cell r="G279">
            <v>250693787.58916676</v>
          </cell>
          <cell r="J279">
            <v>1.5736409509560276</v>
          </cell>
          <cell r="O279">
            <v>394502010.30058479</v>
          </cell>
        </row>
        <row r="280">
          <cell r="G280">
            <v>273154916.13250005</v>
          </cell>
          <cell r="J280">
            <v>1.4778548957967299</v>
          </cell>
          <cell r="O280">
            <v>403683330.11736035</v>
          </cell>
        </row>
        <row r="281">
          <cell r="G281">
            <v>292239326.51041698</v>
          </cell>
          <cell r="J281">
            <v>1.4413525093000297</v>
          </cell>
          <cell r="O281">
            <v>421219886.58194017</v>
          </cell>
        </row>
        <row r="282">
          <cell r="G282">
            <v>323323868.9816668</v>
          </cell>
          <cell r="J282">
            <v>1.3727418575616306</v>
          </cell>
          <cell r="O282">
            <v>443840208.49990654</v>
          </cell>
        </row>
        <row r="283">
          <cell r="G283">
            <v>346955938.10791636</v>
          </cell>
          <cell r="J283">
            <v>1.3075493593415155</v>
          </cell>
          <cell r="O283">
            <v>453662014.59274054</v>
          </cell>
        </row>
        <row r="284">
          <cell r="G284">
            <v>372022088.97291589</v>
          </cell>
          <cell r="J284">
            <v>1.2455465141622073</v>
          </cell>
          <cell r="O284">
            <v>463370816.11155796</v>
          </cell>
        </row>
        <row r="285">
          <cell r="G285">
            <v>403803905.31166744</v>
          </cell>
          <cell r="J285">
            <v>1.1864644900727379</v>
          </cell>
          <cell r="O285">
            <v>479098994.60498762</v>
          </cell>
        </row>
        <row r="286">
          <cell r="G286">
            <v>405934589.57833338</v>
          </cell>
          <cell r="J286">
            <v>1.1303877408726286</v>
          </cell>
          <cell r="O286">
            <v>458863483.65550995</v>
          </cell>
        </row>
        <row r="287">
          <cell r="G287">
            <v>376421384.29166651</v>
          </cell>
          <cell r="J287">
            <v>1.1025000000000003</v>
          </cell>
          <cell r="O287">
            <v>415004576.18156242</v>
          </cell>
        </row>
        <row r="288">
          <cell r="G288">
            <v>341468875.45833349</v>
          </cell>
          <cell r="J288">
            <v>1.0768211446107889</v>
          </cell>
          <cell r="O288">
            <v>367700905.3200016</v>
          </cell>
        </row>
        <row r="289">
          <cell r="G289">
            <v>322259385.91666698</v>
          </cell>
          <cell r="J289">
            <v>1.0499999999999947</v>
          </cell>
          <cell r="O289">
            <v>338372355.21249866</v>
          </cell>
        </row>
        <row r="290">
          <cell r="G290">
            <v>311420426.08333302</v>
          </cell>
          <cell r="J290">
            <v>1.0500000000000036</v>
          </cell>
          <cell r="O290">
            <v>326991447.38750076</v>
          </cell>
        </row>
        <row r="291">
          <cell r="G291">
            <v>319441102.04166603</v>
          </cell>
          <cell r="J291">
            <v>1.0500000000000056</v>
          </cell>
          <cell r="O291">
            <v>335413157.14375114</v>
          </cell>
        </row>
      </sheetData>
      <sheetData sheetId="10">
        <row r="100">
          <cell r="H100">
            <v>180.52</v>
          </cell>
        </row>
        <row r="101">
          <cell r="H101">
            <v>181.55</v>
          </cell>
        </row>
        <row r="102">
          <cell r="H102">
            <v>182.78</v>
          </cell>
        </row>
        <row r="103">
          <cell r="H103">
            <v>183.87</v>
          </cell>
        </row>
        <row r="104">
          <cell r="H104">
            <v>184.57</v>
          </cell>
        </row>
        <row r="105">
          <cell r="H105">
            <v>185.03</v>
          </cell>
        </row>
        <row r="106">
          <cell r="H106">
            <v>185.38</v>
          </cell>
        </row>
        <row r="107">
          <cell r="H107">
            <v>185.51</v>
          </cell>
        </row>
        <row r="108">
          <cell r="H108">
            <v>185.82</v>
          </cell>
        </row>
        <row r="109">
          <cell r="H109">
            <v>186.03</v>
          </cell>
        </row>
        <row r="110">
          <cell r="H110">
            <v>186.43</v>
          </cell>
        </row>
        <row r="111">
          <cell r="H111">
            <v>186.87</v>
          </cell>
        </row>
        <row r="112">
          <cell r="H112">
            <v>187.59</v>
          </cell>
        </row>
        <row r="113">
          <cell r="H113">
            <v>188.62</v>
          </cell>
        </row>
        <row r="114">
          <cell r="H114">
            <v>189.46</v>
          </cell>
        </row>
        <row r="115">
          <cell r="H115">
            <v>189.59</v>
          </cell>
        </row>
        <row r="116">
          <cell r="H116">
            <v>190.03</v>
          </cell>
        </row>
        <row r="117">
          <cell r="H117">
            <v>190.5</v>
          </cell>
        </row>
        <row r="118">
          <cell r="H118">
            <v>190.95</v>
          </cell>
        </row>
        <row r="119">
          <cell r="H119">
            <v>192.03</v>
          </cell>
        </row>
        <row r="120">
          <cell r="H120">
            <v>192.82</v>
          </cell>
        </row>
        <row r="121">
          <cell r="H121">
            <v>193.56</v>
          </cell>
        </row>
        <row r="122">
          <cell r="H122">
            <v>193.85</v>
          </cell>
        </row>
        <row r="123">
          <cell r="H123">
            <v>194.07</v>
          </cell>
        </row>
        <row r="124">
          <cell r="H124">
            <v>194.14</v>
          </cell>
        </row>
        <row r="125">
          <cell r="H125">
            <v>194.1</v>
          </cell>
        </row>
        <row r="126">
          <cell r="H126">
            <v>194.71</v>
          </cell>
        </row>
        <row r="127">
          <cell r="H127">
            <v>195.27</v>
          </cell>
        </row>
        <row r="128">
          <cell r="H128">
            <v>195.59</v>
          </cell>
        </row>
        <row r="129">
          <cell r="H129">
            <v>196.2</v>
          </cell>
        </row>
        <row r="130">
          <cell r="H130">
            <v>197.06</v>
          </cell>
        </row>
        <row r="131">
          <cell r="H131">
            <v>198.22</v>
          </cell>
        </row>
        <row r="132">
          <cell r="H132">
            <v>199.74</v>
          </cell>
        </row>
        <row r="133">
          <cell r="H133">
            <v>200.26</v>
          </cell>
        </row>
        <row r="134">
          <cell r="H134">
            <v>199.74</v>
          </cell>
        </row>
        <row r="135">
          <cell r="H135">
            <v>197.71</v>
          </cell>
        </row>
        <row r="136">
          <cell r="H136">
            <v>195.95</v>
          </cell>
        </row>
        <row r="137">
          <cell r="H137">
            <v>194.81</v>
          </cell>
        </row>
        <row r="138">
          <cell r="H138">
            <v>194.38</v>
          </cell>
        </row>
        <row r="139">
          <cell r="H139">
            <v>197.57</v>
          </cell>
        </row>
        <row r="140">
          <cell r="H140">
            <v>201.27</v>
          </cell>
        </row>
        <row r="141">
          <cell r="H141">
            <v>206.73</v>
          </cell>
        </row>
      </sheetData>
      <sheetData sheetId="11">
        <row r="62">
          <cell r="D62">
            <v>2092.6853822098215</v>
          </cell>
          <cell r="E62">
            <v>2089.9624981398811</v>
          </cell>
        </row>
        <row r="63">
          <cell r="D63">
            <v>2103.67658390625</v>
          </cell>
          <cell r="E63">
            <v>2099.3336831249999</v>
          </cell>
        </row>
        <row r="64">
          <cell r="D64">
            <v>2121.4649248437499</v>
          </cell>
          <cell r="E64">
            <v>2118.8191253125001</v>
          </cell>
        </row>
        <row r="65">
          <cell r="D65">
            <v>2139.9674865625002</v>
          </cell>
          <cell r="E65">
            <v>2139.8777234375002</v>
          </cell>
        </row>
        <row r="66">
          <cell r="D66">
            <v>2155.4573617968749</v>
          </cell>
          <cell r="E66">
            <v>2157.7392184374999</v>
          </cell>
        </row>
        <row r="67">
          <cell r="D67">
            <v>2172.5562767187498</v>
          </cell>
          <cell r="E67">
            <v>2175.6324212500003</v>
          </cell>
        </row>
        <row r="68">
          <cell r="D68">
            <v>2188.3282736718747</v>
          </cell>
          <cell r="E68">
            <v>2189.6208656250001</v>
          </cell>
        </row>
        <row r="69">
          <cell r="D69">
            <v>2202.6592412500004</v>
          </cell>
          <cell r="E69">
            <v>2203.3705943750001</v>
          </cell>
        </row>
        <row r="70">
          <cell r="D70">
            <v>2219.6668832812502</v>
          </cell>
          <cell r="E70">
            <v>2227.7073512500001</v>
          </cell>
        </row>
        <row r="71">
          <cell r="D71">
            <v>2239.006476171875</v>
          </cell>
          <cell r="E71">
            <v>2252.6328937500002</v>
          </cell>
        </row>
        <row r="72">
          <cell r="D72">
            <v>2257.4206734374998</v>
          </cell>
          <cell r="E72">
            <v>2274.9976849999998</v>
          </cell>
        </row>
        <row r="73">
          <cell r="D73">
            <v>2275.5617031249999</v>
          </cell>
          <cell r="E73">
            <v>2296.7677665625006</v>
          </cell>
        </row>
        <row r="74">
          <cell r="D74">
            <v>2293.586478515625</v>
          </cell>
          <cell r="E74">
            <v>2310.575920625</v>
          </cell>
        </row>
        <row r="75">
          <cell r="D75">
            <v>2307.5486684374996</v>
          </cell>
          <cell r="E75">
            <v>2322.5219765625002</v>
          </cell>
        </row>
        <row r="76">
          <cell r="D76">
            <v>2316.0157391406246</v>
          </cell>
          <cell r="E76">
            <v>2330.3812862499999</v>
          </cell>
        </row>
        <row r="77">
          <cell r="D77">
            <v>2319.8966374218749</v>
          </cell>
          <cell r="E77">
            <v>2333.2555071874999</v>
          </cell>
        </row>
        <row r="78">
          <cell r="D78">
            <v>2316.4368912499999</v>
          </cell>
          <cell r="E78">
            <v>2328.6463168749997</v>
          </cell>
        </row>
        <row r="79">
          <cell r="D79">
            <v>2308.4052721093749</v>
          </cell>
          <cell r="E79">
            <v>2320.7975212499996</v>
          </cell>
        </row>
        <row r="80">
          <cell r="D80">
            <v>2301.2550189843751</v>
          </cell>
          <cell r="E80">
            <v>2313.59063625</v>
          </cell>
        </row>
        <row r="81">
          <cell r="D81">
            <v>2296.5396237499999</v>
          </cell>
          <cell r="E81">
            <v>2308.1697937499998</v>
          </cell>
        </row>
        <row r="82">
          <cell r="D82">
            <v>2299.4008416406245</v>
          </cell>
          <cell r="E82">
            <v>2311.2435409374998</v>
          </cell>
        </row>
        <row r="83">
          <cell r="D83">
            <v>2309.76593328125</v>
          </cell>
          <cell r="E83">
            <v>2323.7941315624998</v>
          </cell>
        </row>
        <row r="84">
          <cell r="D84">
            <v>2326.2998086718749</v>
          </cell>
          <cell r="E84">
            <v>2340.8039171874998</v>
          </cell>
        </row>
        <row r="85">
          <cell r="D85">
            <v>2343.8064457812497</v>
          </cell>
          <cell r="E85">
            <v>2360.0865974999997</v>
          </cell>
        </row>
        <row r="86">
          <cell r="D86">
            <v>2363.7419721874999</v>
          </cell>
          <cell r="E86">
            <v>2380.3326815624996</v>
          </cell>
        </row>
        <row r="87">
          <cell r="D87">
            <v>2386.9934075000001</v>
          </cell>
          <cell r="E87">
            <v>2404.1550571875</v>
          </cell>
        </row>
        <row r="88">
          <cell r="D88">
            <v>2413.5249035156248</v>
          </cell>
          <cell r="E88">
            <v>2433.3168421874998</v>
          </cell>
        </row>
        <row r="89">
          <cell r="D89">
            <v>2441.1228667187502</v>
          </cell>
          <cell r="E89">
            <v>2467.6029853125001</v>
          </cell>
        </row>
        <row r="90">
          <cell r="D90">
            <v>2461.6930456250002</v>
          </cell>
          <cell r="E90">
            <v>2494.1881793749999</v>
          </cell>
        </row>
        <row r="91">
          <cell r="D91">
            <v>2471.52187125</v>
          </cell>
          <cell r="E91">
            <v>2508.1578743749997</v>
          </cell>
        </row>
        <row r="92">
          <cell r="D92">
            <v>2471.0510444531246</v>
          </cell>
          <cell r="E92">
            <v>2510.4392250000001</v>
          </cell>
        </row>
        <row r="93">
          <cell r="D93">
            <v>2468.8600975781251</v>
          </cell>
          <cell r="E93">
            <v>2504.0701937499998</v>
          </cell>
        </row>
        <row r="94">
          <cell r="D94">
            <v>2469.8010767968749</v>
          </cell>
          <cell r="E94">
            <v>2502.4740178124998</v>
          </cell>
        </row>
        <row r="95">
          <cell r="D95">
            <v>2476.6863333593751</v>
          </cell>
          <cell r="E95">
            <v>2502.9244703124996</v>
          </cell>
        </row>
        <row r="96">
          <cell r="D96">
            <v>2488.0473220312497</v>
          </cell>
          <cell r="E96">
            <v>2516.5388343749996</v>
          </cell>
        </row>
        <row r="97">
          <cell r="D97">
            <v>2516.3465549218745</v>
          </cell>
          <cell r="E97">
            <v>2539.1344490624997</v>
          </cell>
        </row>
        <row r="98">
          <cell r="D98">
            <v>2553.0646219531245</v>
          </cell>
          <cell r="E98">
            <v>2571.2624740624997</v>
          </cell>
        </row>
        <row r="99">
          <cell r="D99">
            <v>2627.3630946093745</v>
          </cell>
          <cell r="E99">
            <v>2653.598063125</v>
          </cell>
        </row>
        <row r="100">
          <cell r="D100">
            <v>2779.0065232812499</v>
          </cell>
          <cell r="E100">
            <v>2797.9654006250003</v>
          </cell>
        </row>
        <row r="101">
          <cell r="D101">
            <v>2895.0430403125001</v>
          </cell>
          <cell r="E101">
            <v>2933.7932000000001</v>
          </cell>
        </row>
      </sheetData>
      <sheetData sheetId="12">
        <row r="33">
          <cell r="E33">
            <v>2220.5999619166669</v>
          </cell>
        </row>
      </sheetData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Table of Contents"/>
      <sheetName val="1"/>
      <sheetName val="2.1"/>
      <sheetName val="2.2"/>
      <sheetName val="2.3"/>
      <sheetName val="2.4"/>
      <sheetName val="3.1"/>
      <sheetName val="3.2 premium trend"/>
      <sheetName val="3.3a"/>
      <sheetName val="3.3b"/>
      <sheetName val="3.3c"/>
      <sheetName val="3.3d"/>
      <sheetName val="4.1"/>
      <sheetName val="4.2"/>
      <sheetName val="4.3"/>
      <sheetName val="4.4"/>
      <sheetName val="4.5"/>
      <sheetName val="5"/>
      <sheetName val="6.1"/>
      <sheetName val="6.2 - industry"/>
      <sheetName val="6.3"/>
      <sheetName val="6.4"/>
      <sheetName val="6.5"/>
      <sheetName val="6.6"/>
      <sheetName val="6.7"/>
      <sheetName val="7.1"/>
      <sheetName val="7.2"/>
      <sheetName val="7.3"/>
      <sheetName val="7.4"/>
      <sheetName val="8.1"/>
      <sheetName val="8.2"/>
      <sheetName val="8.3"/>
      <sheetName val="8.4"/>
      <sheetName val="9"/>
      <sheetName val="10.1"/>
      <sheetName val="10.2"/>
      <sheetName val="10.3"/>
      <sheetName val="11.1"/>
      <sheetName val="11.2"/>
      <sheetName val="12.1"/>
      <sheetName val="12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4">
          <cell r="E14">
            <v>1.3400956406250004</v>
          </cell>
        </row>
        <row r="15">
          <cell r="E15">
            <v>1.3400956406250004</v>
          </cell>
        </row>
        <row r="16">
          <cell r="E16">
            <v>1.3400956406250004</v>
          </cell>
        </row>
        <row r="17">
          <cell r="E17">
            <v>1.2762815625000004</v>
          </cell>
        </row>
        <row r="18">
          <cell r="E18">
            <v>1.2762815625000004</v>
          </cell>
        </row>
        <row r="19">
          <cell r="E19">
            <v>1.2762815625000004</v>
          </cell>
        </row>
        <row r="20">
          <cell r="E20">
            <v>1.2762815625000004</v>
          </cell>
        </row>
        <row r="21">
          <cell r="E21">
            <v>1.2155062500000002</v>
          </cell>
        </row>
        <row r="22">
          <cell r="E22">
            <v>1.2155062500000002</v>
          </cell>
        </row>
        <row r="23">
          <cell r="E23">
            <v>1.2155062500000002</v>
          </cell>
        </row>
        <row r="24">
          <cell r="E24">
            <v>1.2155062500000002</v>
          </cell>
        </row>
        <row r="25">
          <cell r="E25">
            <v>1.1576250000000001</v>
          </cell>
        </row>
        <row r="26">
          <cell r="E26">
            <v>1.1576250000000001</v>
          </cell>
        </row>
        <row r="27">
          <cell r="E27">
            <v>1.1576250000000001</v>
          </cell>
        </row>
        <row r="28">
          <cell r="E28">
            <v>1.1576250000000001</v>
          </cell>
        </row>
        <row r="29">
          <cell r="E29">
            <v>1.1025</v>
          </cell>
        </row>
        <row r="30">
          <cell r="E30">
            <v>1.1025</v>
          </cell>
        </row>
        <row r="31">
          <cell r="E31">
            <v>1.1025</v>
          </cell>
        </row>
        <row r="32">
          <cell r="E32">
            <v>1.1025</v>
          </cell>
        </row>
        <row r="33">
          <cell r="E33">
            <v>1.1025</v>
          </cell>
        </row>
        <row r="34">
          <cell r="E34">
            <v>1.1025</v>
          </cell>
        </row>
        <row r="35">
          <cell r="E35">
            <v>1.1025</v>
          </cell>
        </row>
        <row r="36">
          <cell r="E36">
            <v>1.1025</v>
          </cell>
        </row>
        <row r="37">
          <cell r="E37">
            <v>1.05</v>
          </cell>
        </row>
        <row r="38">
          <cell r="E38">
            <v>1.05</v>
          </cell>
        </row>
        <row r="39">
          <cell r="E39">
            <v>1.05</v>
          </cell>
        </row>
        <row r="40">
          <cell r="E40">
            <v>1.05</v>
          </cell>
        </row>
        <row r="41">
          <cell r="E41">
            <v>1.05</v>
          </cell>
        </row>
        <row r="42">
          <cell r="E42">
            <v>1.05</v>
          </cell>
        </row>
        <row r="43">
          <cell r="E43">
            <v>1.05</v>
          </cell>
        </row>
        <row r="44">
          <cell r="E44">
            <v>1.05</v>
          </cell>
        </row>
        <row r="45">
          <cell r="E45">
            <v>1.05</v>
          </cell>
        </row>
        <row r="46">
          <cell r="E46">
            <v>1.05</v>
          </cell>
        </row>
        <row r="47">
          <cell r="E47">
            <v>1.05</v>
          </cell>
        </row>
        <row r="48">
          <cell r="E48">
            <v>1.05</v>
          </cell>
        </row>
        <row r="49">
          <cell r="E49">
            <v>1.05</v>
          </cell>
        </row>
        <row r="50">
          <cell r="E50">
            <v>1.05</v>
          </cell>
        </row>
        <row r="51">
          <cell r="E51">
            <v>1.05</v>
          </cell>
        </row>
        <row r="52">
          <cell r="E52">
            <v>1.05</v>
          </cell>
        </row>
      </sheetData>
      <sheetData sheetId="9"/>
      <sheetData sheetId="10"/>
      <sheetData sheetId="11"/>
      <sheetData sheetId="12"/>
      <sheetData sheetId="13"/>
      <sheetData sheetId="14">
        <row r="14">
          <cell r="E14">
            <v>12911</v>
          </cell>
        </row>
        <row r="15">
          <cell r="E15">
            <v>2512</v>
          </cell>
        </row>
        <row r="16">
          <cell r="E16">
            <v>796</v>
          </cell>
        </row>
        <row r="17">
          <cell r="E17">
            <v>148999</v>
          </cell>
        </row>
        <row r="18">
          <cell r="E18">
            <v>999</v>
          </cell>
        </row>
        <row r="19">
          <cell r="E19">
            <v>512</v>
          </cell>
        </row>
        <row r="20">
          <cell r="E20">
            <v>881</v>
          </cell>
        </row>
        <row r="21">
          <cell r="E21">
            <v>1897</v>
          </cell>
        </row>
        <row r="22">
          <cell r="E22">
            <v>1160</v>
          </cell>
        </row>
        <row r="23">
          <cell r="E23">
            <v>12296</v>
          </cell>
        </row>
        <row r="24">
          <cell r="E24">
            <v>335</v>
          </cell>
        </row>
        <row r="25">
          <cell r="E25">
            <v>1217</v>
          </cell>
        </row>
        <row r="26">
          <cell r="E26">
            <v>489</v>
          </cell>
        </row>
        <row r="27">
          <cell r="E27">
            <v>3375</v>
          </cell>
        </row>
        <row r="28">
          <cell r="E28">
            <v>679</v>
          </cell>
        </row>
        <row r="29">
          <cell r="E29">
            <v>2977</v>
          </cell>
        </row>
        <row r="30">
          <cell r="E30">
            <v>1166</v>
          </cell>
        </row>
        <row r="31">
          <cell r="E31">
            <v>2964</v>
          </cell>
        </row>
        <row r="32">
          <cell r="E32">
            <v>22401</v>
          </cell>
        </row>
        <row r="33">
          <cell r="E33">
            <v>8773</v>
          </cell>
        </row>
        <row r="34">
          <cell r="E34">
            <v>6227</v>
          </cell>
        </row>
        <row r="35">
          <cell r="E35">
            <v>24605</v>
          </cell>
        </row>
        <row r="36">
          <cell r="E36">
            <v>5167</v>
          </cell>
        </row>
        <row r="37">
          <cell r="E37">
            <v>155001</v>
          </cell>
        </row>
        <row r="38">
          <cell r="E38">
            <v>5167</v>
          </cell>
        </row>
        <row r="39">
          <cell r="E39">
            <v>154981</v>
          </cell>
        </row>
        <row r="40">
          <cell r="E40">
            <v>4276</v>
          </cell>
        </row>
        <row r="41">
          <cell r="E41">
            <v>15745</v>
          </cell>
        </row>
        <row r="42">
          <cell r="E42">
            <v>2583017</v>
          </cell>
        </row>
        <row r="43">
          <cell r="E43">
            <v>10407</v>
          </cell>
        </row>
        <row r="44">
          <cell r="E44">
            <v>18005</v>
          </cell>
        </row>
        <row r="45">
          <cell r="E45">
            <v>96073</v>
          </cell>
        </row>
        <row r="46">
          <cell r="C46">
            <v>67492</v>
          </cell>
          <cell r="D46">
            <v>1</v>
          </cell>
          <cell r="E46">
            <v>67492</v>
          </cell>
        </row>
        <row r="47">
          <cell r="C47">
            <v>70874</v>
          </cell>
          <cell r="D47">
            <v>1</v>
          </cell>
          <cell r="E47">
            <v>70874</v>
          </cell>
        </row>
        <row r="48">
          <cell r="C48">
            <v>7012</v>
          </cell>
          <cell r="D48">
            <v>1</v>
          </cell>
          <cell r="E48">
            <v>7012</v>
          </cell>
        </row>
        <row r="49">
          <cell r="C49">
            <v>138780</v>
          </cell>
          <cell r="D49">
            <v>1</v>
          </cell>
          <cell r="E49">
            <v>138780</v>
          </cell>
        </row>
        <row r="50">
          <cell r="C50">
            <v>28456</v>
          </cell>
          <cell r="D50">
            <v>0.999</v>
          </cell>
          <cell r="E50">
            <v>28428</v>
          </cell>
        </row>
        <row r="51">
          <cell r="C51">
            <v>1421854</v>
          </cell>
          <cell r="D51">
            <v>0.9988591741817634</v>
          </cell>
          <cell r="E51">
            <v>1420231.912247037</v>
          </cell>
        </row>
        <row r="52">
          <cell r="C52">
            <v>12069</v>
          </cell>
          <cell r="D52">
            <v>0.98899999999999999</v>
          </cell>
          <cell r="E52">
            <v>11936</v>
          </cell>
        </row>
        <row r="53">
          <cell r="C53">
            <v>17624</v>
          </cell>
          <cell r="D53">
            <v>0.98199999999999998</v>
          </cell>
          <cell r="E53">
            <v>17307</v>
          </cell>
        </row>
        <row r="54">
          <cell r="C54">
            <v>64821</v>
          </cell>
          <cell r="D54">
            <v>0.97499999999999998</v>
          </cell>
          <cell r="E54">
            <v>63200</v>
          </cell>
        </row>
        <row r="55">
          <cell r="C55">
            <v>61907</v>
          </cell>
          <cell r="D55">
            <v>0.97499999999999998</v>
          </cell>
          <cell r="E55">
            <v>60359</v>
          </cell>
        </row>
      </sheetData>
      <sheetData sheetId="15">
        <row r="14">
          <cell r="C14">
            <v>62722</v>
          </cell>
          <cell r="D14">
            <v>69764</v>
          </cell>
          <cell r="E14">
            <v>67287</v>
          </cell>
          <cell r="F14">
            <v>66724</v>
          </cell>
          <cell r="G14">
            <v>66328</v>
          </cell>
          <cell r="H14">
            <v>67658</v>
          </cell>
          <cell r="I14">
            <v>67492</v>
          </cell>
        </row>
        <row r="15">
          <cell r="C15">
            <v>77204</v>
          </cell>
          <cell r="D15">
            <v>75204</v>
          </cell>
          <cell r="E15">
            <v>72860</v>
          </cell>
          <cell r="F15">
            <v>71823</v>
          </cell>
          <cell r="G15">
            <v>71286</v>
          </cell>
          <cell r="H15">
            <v>71068</v>
          </cell>
          <cell r="I15">
            <v>70874</v>
          </cell>
        </row>
        <row r="16">
          <cell r="C16">
            <v>6739</v>
          </cell>
          <cell r="D16">
            <v>7854</v>
          </cell>
          <cell r="E16">
            <v>7298</v>
          </cell>
          <cell r="F16">
            <v>7261</v>
          </cell>
          <cell r="G16">
            <v>7068</v>
          </cell>
          <cell r="H16">
            <v>7012</v>
          </cell>
          <cell r="I16">
            <v>7012</v>
          </cell>
        </row>
        <row r="17">
          <cell r="C17">
            <v>147927</v>
          </cell>
          <cell r="D17">
            <v>139955</v>
          </cell>
          <cell r="E17">
            <v>140459</v>
          </cell>
          <cell r="F17">
            <v>139777</v>
          </cell>
          <cell r="G17">
            <v>138801</v>
          </cell>
          <cell r="H17">
            <v>138733</v>
          </cell>
          <cell r="I17">
            <v>138780</v>
          </cell>
        </row>
        <row r="18">
          <cell r="C18">
            <v>31292</v>
          </cell>
          <cell r="D18">
            <v>29612</v>
          </cell>
          <cell r="E18">
            <v>28908</v>
          </cell>
          <cell r="F18">
            <v>28523</v>
          </cell>
          <cell r="G18">
            <v>28457</v>
          </cell>
          <cell r="H18">
            <v>28456</v>
          </cell>
        </row>
        <row r="19">
          <cell r="C19">
            <v>1278467</v>
          </cell>
          <cell r="D19">
            <v>1373877</v>
          </cell>
          <cell r="E19">
            <v>1445588</v>
          </cell>
          <cell r="F19">
            <v>1447150</v>
          </cell>
          <cell r="G19">
            <v>1421854</v>
          </cell>
        </row>
        <row r="20">
          <cell r="C20">
            <v>13197</v>
          </cell>
          <cell r="D20">
            <v>12326</v>
          </cell>
          <cell r="E20">
            <v>12193</v>
          </cell>
          <cell r="F20">
            <v>12069</v>
          </cell>
        </row>
        <row r="21">
          <cell r="C21">
            <v>18155</v>
          </cell>
          <cell r="D21">
            <v>17949</v>
          </cell>
          <cell r="E21">
            <v>17624</v>
          </cell>
        </row>
        <row r="22">
          <cell r="C22">
            <v>87095</v>
          </cell>
          <cell r="D22">
            <v>64821</v>
          </cell>
        </row>
        <row r="23">
          <cell r="C23">
            <v>61907</v>
          </cell>
          <cell r="M23">
            <v>44561</v>
          </cell>
        </row>
        <row r="46">
          <cell r="C46">
            <v>1.0049999999999999</v>
          </cell>
          <cell r="D46">
            <v>0.99099999999999999</v>
          </cell>
          <cell r="E46">
            <v>0.99299999999999999</v>
          </cell>
          <cell r="F46">
            <v>0.99</v>
          </cell>
          <cell r="G46">
            <v>0.999</v>
          </cell>
          <cell r="H46">
            <v>0.998</v>
          </cell>
          <cell r="I46">
            <v>1</v>
          </cell>
        </row>
        <row r="47">
          <cell r="C47">
            <v>1</v>
          </cell>
          <cell r="D47">
            <v>0.99299999999999999</v>
          </cell>
          <cell r="E47">
            <v>0.99299999999999999</v>
          </cell>
          <cell r="F47">
            <v>0.99</v>
          </cell>
          <cell r="G47">
            <v>1</v>
          </cell>
          <cell r="H47">
            <v>0.999</v>
          </cell>
          <cell r="I47">
            <v>1</v>
          </cell>
        </row>
      </sheetData>
      <sheetData sheetId="16">
        <row r="13">
          <cell r="G13">
            <v>1318</v>
          </cell>
        </row>
        <row r="14">
          <cell r="G14">
            <v>543</v>
          </cell>
        </row>
        <row r="15">
          <cell r="G15">
            <v>565</v>
          </cell>
        </row>
        <row r="16">
          <cell r="G16">
            <v>9127</v>
          </cell>
        </row>
        <row r="17">
          <cell r="G17">
            <v>324</v>
          </cell>
        </row>
        <row r="18">
          <cell r="G18">
            <v>297</v>
          </cell>
        </row>
        <row r="19">
          <cell r="E19">
            <v>270</v>
          </cell>
          <cell r="F19">
            <v>235</v>
          </cell>
          <cell r="G19">
            <v>505</v>
          </cell>
        </row>
        <row r="20">
          <cell r="E20">
            <v>652</v>
          </cell>
          <cell r="F20">
            <v>404</v>
          </cell>
          <cell r="G20">
            <v>1056</v>
          </cell>
        </row>
        <row r="21">
          <cell r="E21">
            <v>235</v>
          </cell>
          <cell r="F21">
            <v>122</v>
          </cell>
          <cell r="G21">
            <v>357</v>
          </cell>
        </row>
        <row r="22">
          <cell r="E22">
            <v>2727</v>
          </cell>
          <cell r="F22">
            <v>801</v>
          </cell>
          <cell r="G22">
            <v>3528</v>
          </cell>
        </row>
        <row r="23">
          <cell r="E23">
            <v>119</v>
          </cell>
          <cell r="F23">
            <v>106</v>
          </cell>
          <cell r="G23">
            <v>225</v>
          </cell>
        </row>
        <row r="24">
          <cell r="E24">
            <v>403</v>
          </cell>
          <cell r="F24">
            <v>326</v>
          </cell>
          <cell r="G24">
            <v>729</v>
          </cell>
        </row>
        <row r="25">
          <cell r="E25">
            <v>270</v>
          </cell>
          <cell r="F25">
            <v>284</v>
          </cell>
          <cell r="G25">
            <v>554</v>
          </cell>
        </row>
        <row r="26">
          <cell r="E26">
            <v>806</v>
          </cell>
          <cell r="F26">
            <v>569</v>
          </cell>
          <cell r="G26">
            <v>1375</v>
          </cell>
        </row>
        <row r="27">
          <cell r="E27">
            <v>192</v>
          </cell>
          <cell r="F27">
            <v>315</v>
          </cell>
          <cell r="G27">
            <v>507</v>
          </cell>
        </row>
        <row r="28">
          <cell r="E28">
            <v>698</v>
          </cell>
          <cell r="F28">
            <v>205</v>
          </cell>
          <cell r="G28">
            <v>903</v>
          </cell>
        </row>
        <row r="29">
          <cell r="E29">
            <v>355</v>
          </cell>
          <cell r="F29">
            <v>227</v>
          </cell>
          <cell r="G29">
            <v>582</v>
          </cell>
        </row>
        <row r="30">
          <cell r="E30">
            <v>892</v>
          </cell>
          <cell r="F30">
            <v>451</v>
          </cell>
          <cell r="G30">
            <v>1343</v>
          </cell>
        </row>
        <row r="31">
          <cell r="E31">
            <v>3920</v>
          </cell>
          <cell r="F31">
            <v>812</v>
          </cell>
          <cell r="G31">
            <v>4732</v>
          </cell>
        </row>
        <row r="32">
          <cell r="E32">
            <v>1757</v>
          </cell>
          <cell r="F32">
            <v>631</v>
          </cell>
          <cell r="G32">
            <v>2388</v>
          </cell>
        </row>
        <row r="33">
          <cell r="E33">
            <v>1209</v>
          </cell>
          <cell r="F33">
            <v>676</v>
          </cell>
          <cell r="G33">
            <v>1885</v>
          </cell>
        </row>
        <row r="34">
          <cell r="E34">
            <v>1207</v>
          </cell>
          <cell r="F34">
            <v>673</v>
          </cell>
          <cell r="G34">
            <v>1880</v>
          </cell>
        </row>
        <row r="35">
          <cell r="E35">
            <v>3643</v>
          </cell>
          <cell r="F35">
            <v>1583</v>
          </cell>
          <cell r="G35">
            <v>5226</v>
          </cell>
        </row>
        <row r="36">
          <cell r="E36">
            <v>3239</v>
          </cell>
          <cell r="F36">
            <v>1883</v>
          </cell>
          <cell r="G36">
            <v>5122</v>
          </cell>
        </row>
        <row r="37">
          <cell r="E37">
            <v>844</v>
          </cell>
          <cell r="F37">
            <v>627</v>
          </cell>
          <cell r="G37">
            <v>1471</v>
          </cell>
        </row>
        <row r="38">
          <cell r="E38">
            <v>15229</v>
          </cell>
          <cell r="F38">
            <v>5006</v>
          </cell>
          <cell r="G38">
            <v>20235</v>
          </cell>
        </row>
        <row r="39">
          <cell r="E39">
            <v>860</v>
          </cell>
          <cell r="F39">
            <v>250</v>
          </cell>
          <cell r="G39">
            <v>1110</v>
          </cell>
        </row>
        <row r="40">
          <cell r="E40">
            <v>2489</v>
          </cell>
          <cell r="F40">
            <v>2452</v>
          </cell>
          <cell r="G40">
            <v>4941</v>
          </cell>
        </row>
        <row r="41">
          <cell r="C41">
            <v>99668</v>
          </cell>
          <cell r="D41">
            <v>1</v>
          </cell>
          <cell r="E41">
            <v>99668</v>
          </cell>
          <cell r="F41">
            <v>246947</v>
          </cell>
          <cell r="G41">
            <v>346615</v>
          </cell>
        </row>
        <row r="42">
          <cell r="C42">
            <v>223</v>
          </cell>
          <cell r="D42">
            <v>1</v>
          </cell>
          <cell r="E42">
            <v>223</v>
          </cell>
          <cell r="F42">
            <v>1996</v>
          </cell>
          <cell r="G42">
            <v>2219</v>
          </cell>
        </row>
        <row r="43">
          <cell r="C43">
            <v>323</v>
          </cell>
          <cell r="D43">
            <v>1</v>
          </cell>
          <cell r="E43">
            <v>323</v>
          </cell>
          <cell r="F43">
            <v>3951</v>
          </cell>
          <cell r="G43">
            <v>4274</v>
          </cell>
        </row>
        <row r="44">
          <cell r="C44">
            <v>725</v>
          </cell>
          <cell r="D44">
            <v>1</v>
          </cell>
          <cell r="E44">
            <v>725</v>
          </cell>
          <cell r="F44">
            <v>14383</v>
          </cell>
          <cell r="G44">
            <v>15108</v>
          </cell>
        </row>
        <row r="45">
          <cell r="C45">
            <v>869</v>
          </cell>
          <cell r="D45">
            <v>1</v>
          </cell>
          <cell r="E45">
            <v>869</v>
          </cell>
          <cell r="F45">
            <v>14964</v>
          </cell>
          <cell r="G45">
            <v>15833</v>
          </cell>
        </row>
        <row r="46">
          <cell r="C46">
            <v>901</v>
          </cell>
          <cell r="D46">
            <v>1</v>
          </cell>
          <cell r="E46">
            <v>901</v>
          </cell>
          <cell r="F46">
            <v>12938</v>
          </cell>
          <cell r="G46">
            <v>13839</v>
          </cell>
        </row>
        <row r="47">
          <cell r="C47">
            <v>1028</v>
          </cell>
          <cell r="D47">
            <v>1</v>
          </cell>
          <cell r="E47">
            <v>1028</v>
          </cell>
          <cell r="F47">
            <v>5797</v>
          </cell>
          <cell r="G47">
            <v>6825</v>
          </cell>
        </row>
        <row r="48">
          <cell r="C48">
            <v>2847</v>
          </cell>
          <cell r="D48">
            <v>1</v>
          </cell>
          <cell r="E48">
            <v>2847</v>
          </cell>
          <cell r="F48">
            <v>37143</v>
          </cell>
          <cell r="G48">
            <v>39990</v>
          </cell>
        </row>
        <row r="49">
          <cell r="C49">
            <v>524</v>
          </cell>
          <cell r="D49">
            <v>0.98</v>
          </cell>
          <cell r="E49">
            <v>514</v>
          </cell>
          <cell r="F49">
            <v>14884</v>
          </cell>
          <cell r="G49">
            <v>15398</v>
          </cell>
        </row>
        <row r="50">
          <cell r="C50">
            <v>17745</v>
          </cell>
          <cell r="D50">
            <v>0.95699999999999996</v>
          </cell>
          <cell r="E50">
            <v>16982</v>
          </cell>
          <cell r="F50">
            <v>264419</v>
          </cell>
          <cell r="G50">
            <v>281401</v>
          </cell>
        </row>
        <row r="51">
          <cell r="C51">
            <v>319</v>
          </cell>
          <cell r="D51">
            <v>0.92</v>
          </cell>
          <cell r="E51">
            <v>293</v>
          </cell>
          <cell r="F51">
            <v>6370</v>
          </cell>
          <cell r="G51">
            <v>6663</v>
          </cell>
        </row>
        <row r="52">
          <cell r="C52">
            <v>706</v>
          </cell>
          <cell r="D52">
            <v>0.93</v>
          </cell>
          <cell r="E52">
            <v>657</v>
          </cell>
          <cell r="F52">
            <v>8700</v>
          </cell>
          <cell r="G52">
            <v>9357</v>
          </cell>
        </row>
        <row r="53">
          <cell r="C53">
            <v>1654</v>
          </cell>
          <cell r="D53">
            <v>1.1419999999999999</v>
          </cell>
          <cell r="E53">
            <v>1889</v>
          </cell>
          <cell r="F53">
            <v>26139</v>
          </cell>
          <cell r="G53">
            <v>28028</v>
          </cell>
        </row>
        <row r="54">
          <cell r="C54">
            <v>776</v>
          </cell>
          <cell r="D54">
            <v>1.7130000000000001</v>
          </cell>
          <cell r="E54">
            <v>1329</v>
          </cell>
          <cell r="F54">
            <v>20842</v>
          </cell>
          <cell r="G54">
            <v>22171</v>
          </cell>
        </row>
        <row r="58">
          <cell r="B58" t="str">
            <v>(3) Exhibit 4, Sheet 5</v>
          </cell>
        </row>
        <row r="60">
          <cell r="B60" t="str">
            <v>(5) From TWIA's annual statements</v>
          </cell>
        </row>
      </sheetData>
      <sheetData sheetId="17">
        <row r="14">
          <cell r="C14">
            <v>515</v>
          </cell>
          <cell r="D14">
            <v>592</v>
          </cell>
          <cell r="E14">
            <v>609</v>
          </cell>
          <cell r="F14">
            <v>682</v>
          </cell>
          <cell r="G14">
            <v>629</v>
          </cell>
          <cell r="H14">
            <v>745</v>
          </cell>
          <cell r="I14">
            <v>725</v>
          </cell>
        </row>
        <row r="15">
          <cell r="C15">
            <v>516</v>
          </cell>
          <cell r="D15">
            <v>679</v>
          </cell>
          <cell r="E15">
            <v>719</v>
          </cell>
          <cell r="F15">
            <v>632</v>
          </cell>
          <cell r="G15">
            <v>917</v>
          </cell>
          <cell r="H15">
            <v>880</v>
          </cell>
          <cell r="I15">
            <v>869</v>
          </cell>
        </row>
        <row r="16">
          <cell r="C16">
            <v>802</v>
          </cell>
          <cell r="D16">
            <v>806</v>
          </cell>
          <cell r="E16">
            <v>715</v>
          </cell>
          <cell r="F16">
            <v>1089</v>
          </cell>
          <cell r="G16">
            <v>991</v>
          </cell>
          <cell r="H16">
            <v>971</v>
          </cell>
          <cell r="I16">
            <v>901</v>
          </cell>
        </row>
        <row r="17">
          <cell r="C17">
            <v>516</v>
          </cell>
          <cell r="D17">
            <v>493</v>
          </cell>
          <cell r="E17">
            <v>1085</v>
          </cell>
          <cell r="F17">
            <v>1266</v>
          </cell>
          <cell r="G17">
            <v>1077</v>
          </cell>
          <cell r="H17">
            <v>1028</v>
          </cell>
          <cell r="I17">
            <v>1028</v>
          </cell>
        </row>
        <row r="18">
          <cell r="C18">
            <v>973</v>
          </cell>
          <cell r="D18">
            <v>1818</v>
          </cell>
          <cell r="E18">
            <v>2355</v>
          </cell>
          <cell r="F18">
            <v>2749</v>
          </cell>
          <cell r="G18">
            <v>2944</v>
          </cell>
          <cell r="H18">
            <v>2838</v>
          </cell>
          <cell r="I18">
            <v>2847</v>
          </cell>
        </row>
        <row r="19">
          <cell r="C19">
            <v>412</v>
          </cell>
          <cell r="D19">
            <v>678</v>
          </cell>
          <cell r="E19">
            <v>746</v>
          </cell>
          <cell r="F19">
            <v>571</v>
          </cell>
          <cell r="G19">
            <v>542</v>
          </cell>
          <cell r="H19">
            <v>524</v>
          </cell>
        </row>
        <row r="20">
          <cell r="C20">
            <v>891</v>
          </cell>
          <cell r="D20">
            <v>16490</v>
          </cell>
          <cell r="E20">
            <v>21865</v>
          </cell>
          <cell r="F20">
            <v>21700</v>
          </cell>
          <cell r="G20">
            <v>17745</v>
          </cell>
        </row>
        <row r="21">
          <cell r="C21">
            <v>301</v>
          </cell>
          <cell r="D21">
            <v>361</v>
          </cell>
          <cell r="E21">
            <v>352</v>
          </cell>
          <cell r="F21">
            <v>319</v>
          </cell>
        </row>
        <row r="22">
          <cell r="C22">
            <v>48</v>
          </cell>
          <cell r="D22">
            <v>471</v>
          </cell>
          <cell r="E22">
            <v>706</v>
          </cell>
        </row>
        <row r="23">
          <cell r="C23">
            <v>295</v>
          </cell>
          <cell r="D23">
            <v>1654</v>
          </cell>
          <cell r="L23">
            <v>44561</v>
          </cell>
        </row>
        <row r="24">
          <cell r="C24">
            <v>776</v>
          </cell>
        </row>
        <row r="48">
          <cell r="C48">
            <v>1.5</v>
          </cell>
          <cell r="D48">
            <v>1.228</v>
          </cell>
          <cell r="E48">
            <v>1.0109999999999999</v>
          </cell>
          <cell r="F48">
            <v>0.96099999999999997</v>
          </cell>
          <cell r="G48">
            <v>0.97699999999999998</v>
          </cell>
          <cell r="H48">
            <v>0.98</v>
          </cell>
          <cell r="I48">
            <v>1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3">
          <cell r="B33" t="str">
            <v>Inforce-Premium as of 11/30/21 at Present Rates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>
        <row r="14">
          <cell r="A14">
            <v>1851</v>
          </cell>
          <cell r="B14" t="str">
            <v>Jun</v>
          </cell>
          <cell r="E14">
            <v>1933</v>
          </cell>
          <cell r="F14" t="str">
            <v>Sep</v>
          </cell>
        </row>
        <row r="15">
          <cell r="A15">
            <v>1854</v>
          </cell>
          <cell r="B15" t="str">
            <v>Jun</v>
          </cell>
          <cell r="E15">
            <v>1934</v>
          </cell>
          <cell r="F15" t="str">
            <v>Jul</v>
          </cell>
        </row>
        <row r="16">
          <cell r="A16">
            <v>1854</v>
          </cell>
          <cell r="B16" t="str">
            <v>Sep</v>
          </cell>
          <cell r="C16" t="str">
            <v>“Matagorda”</v>
          </cell>
          <cell r="E16">
            <v>1936</v>
          </cell>
          <cell r="F16" t="str">
            <v>Jun</v>
          </cell>
        </row>
        <row r="17">
          <cell r="A17">
            <v>1865</v>
          </cell>
          <cell r="B17" t="str">
            <v>Sep</v>
          </cell>
          <cell r="C17" t="str">
            <v>“Sabine River-Lake Calcasieu”</v>
          </cell>
          <cell r="E17">
            <v>1940</v>
          </cell>
          <cell r="F17" t="str">
            <v>Aug</v>
          </cell>
        </row>
        <row r="18">
          <cell r="A18">
            <v>1866</v>
          </cell>
          <cell r="B18" t="str">
            <v>Jul</v>
          </cell>
          <cell r="E18">
            <v>1941</v>
          </cell>
          <cell r="F18" t="str">
            <v>Sep</v>
          </cell>
        </row>
        <row r="19">
          <cell r="A19">
            <v>1867</v>
          </cell>
          <cell r="B19" t="str">
            <v>Oct</v>
          </cell>
          <cell r="C19" t="str">
            <v>“Galveston”</v>
          </cell>
          <cell r="E19">
            <v>1942</v>
          </cell>
          <cell r="F19" t="str">
            <v>Aug</v>
          </cell>
        </row>
        <row r="20">
          <cell r="A20">
            <v>1869</v>
          </cell>
          <cell r="B20" t="str">
            <v>Aug</v>
          </cell>
          <cell r="C20" t="str">
            <v>“Lower Texas Coast"</v>
          </cell>
          <cell r="E20">
            <v>1942</v>
          </cell>
          <cell r="F20" t="str">
            <v>Aug</v>
          </cell>
        </row>
        <row r="21">
          <cell r="A21">
            <v>1875</v>
          </cell>
          <cell r="B21" t="str">
            <v>Sep</v>
          </cell>
          <cell r="E21">
            <v>1943</v>
          </cell>
          <cell r="F21" t="str">
            <v>Jul</v>
          </cell>
        </row>
        <row r="22">
          <cell r="A22">
            <v>1879</v>
          </cell>
          <cell r="B22" t="str">
            <v>Aug</v>
          </cell>
          <cell r="E22">
            <v>1945</v>
          </cell>
          <cell r="F22" t="str">
            <v>Aug</v>
          </cell>
        </row>
        <row r="23">
          <cell r="A23">
            <v>1880</v>
          </cell>
          <cell r="B23" t="str">
            <v>Aug</v>
          </cell>
          <cell r="E23">
            <v>1947</v>
          </cell>
          <cell r="F23" t="str">
            <v>Aug</v>
          </cell>
        </row>
        <row r="24">
          <cell r="A24">
            <v>1882</v>
          </cell>
          <cell r="B24" t="str">
            <v>Sep</v>
          </cell>
          <cell r="E24">
            <v>1949</v>
          </cell>
          <cell r="F24" t="str">
            <v>Oct</v>
          </cell>
        </row>
        <row r="25">
          <cell r="A25">
            <v>1886</v>
          </cell>
          <cell r="B25" t="str">
            <v>Jun</v>
          </cell>
          <cell r="E25">
            <v>1957</v>
          </cell>
          <cell r="F25" t="str">
            <v>Jun</v>
          </cell>
          <cell r="G25" t="str">
            <v>Audrey</v>
          </cell>
        </row>
        <row r="26">
          <cell r="A26">
            <v>1886</v>
          </cell>
          <cell r="B26" t="str">
            <v>Aug</v>
          </cell>
          <cell r="C26" t="str">
            <v>“Indianola”</v>
          </cell>
          <cell r="E26">
            <v>1959</v>
          </cell>
          <cell r="F26" t="str">
            <v>Jul</v>
          </cell>
          <cell r="G26" t="str">
            <v>Debra</v>
          </cell>
        </row>
        <row r="27">
          <cell r="A27">
            <v>1886</v>
          </cell>
          <cell r="B27" t="str">
            <v>Sep</v>
          </cell>
          <cell r="E27">
            <v>1961</v>
          </cell>
          <cell r="F27" t="str">
            <v>Sep</v>
          </cell>
          <cell r="G27" t="str">
            <v>Carla</v>
          </cell>
        </row>
        <row r="28">
          <cell r="A28">
            <v>1886</v>
          </cell>
          <cell r="B28" t="str">
            <v>Oct</v>
          </cell>
          <cell r="E28">
            <v>1963</v>
          </cell>
          <cell r="F28" t="str">
            <v>Sep</v>
          </cell>
          <cell r="G28" t="str">
            <v>Cindy</v>
          </cell>
        </row>
        <row r="29">
          <cell r="A29">
            <v>1887</v>
          </cell>
          <cell r="B29" t="str">
            <v>Sep</v>
          </cell>
          <cell r="E29">
            <v>1967</v>
          </cell>
          <cell r="F29" t="str">
            <v>Sep</v>
          </cell>
          <cell r="G29" t="str">
            <v>Beulah</v>
          </cell>
        </row>
        <row r="30">
          <cell r="A30">
            <v>1888</v>
          </cell>
          <cell r="B30" t="str">
            <v>Jun</v>
          </cell>
          <cell r="E30">
            <v>1970</v>
          </cell>
          <cell r="F30" t="str">
            <v>Aug</v>
          </cell>
          <cell r="G30" t="str">
            <v>Celia</v>
          </cell>
        </row>
        <row r="31">
          <cell r="A31">
            <v>1891</v>
          </cell>
          <cell r="B31" t="str">
            <v>Jul</v>
          </cell>
          <cell r="E31">
            <v>1971</v>
          </cell>
          <cell r="F31" t="str">
            <v>Sep</v>
          </cell>
          <cell r="G31" t="str">
            <v>Fern</v>
          </cell>
        </row>
        <row r="32">
          <cell r="A32">
            <v>1895</v>
          </cell>
          <cell r="B32" t="str">
            <v>Aug</v>
          </cell>
          <cell r="E32">
            <v>1980</v>
          </cell>
          <cell r="F32" t="str">
            <v>Aug</v>
          </cell>
          <cell r="G32" t="str">
            <v>Allen</v>
          </cell>
        </row>
        <row r="33">
          <cell r="A33">
            <v>1897</v>
          </cell>
          <cell r="B33" t="str">
            <v>Sep</v>
          </cell>
          <cell r="E33">
            <v>1983</v>
          </cell>
          <cell r="F33" t="str">
            <v>Aug</v>
          </cell>
          <cell r="G33" t="str">
            <v>Alicia</v>
          </cell>
        </row>
        <row r="34">
          <cell r="A34">
            <v>1900</v>
          </cell>
          <cell r="B34" t="str">
            <v>Sep</v>
          </cell>
          <cell r="C34" t="str">
            <v>“Galveston”</v>
          </cell>
          <cell r="E34">
            <v>1986</v>
          </cell>
          <cell r="F34" t="str">
            <v>Jun</v>
          </cell>
          <cell r="G34" t="str">
            <v>Bonnie</v>
          </cell>
        </row>
        <row r="35">
          <cell r="A35">
            <v>1909</v>
          </cell>
          <cell r="B35" t="str">
            <v>Jun</v>
          </cell>
          <cell r="E35">
            <v>1989</v>
          </cell>
          <cell r="F35" t="str">
            <v>Aug</v>
          </cell>
          <cell r="G35" t="str">
            <v>Chantal</v>
          </cell>
        </row>
        <row r="36">
          <cell r="A36">
            <v>1909</v>
          </cell>
          <cell r="B36" t="str">
            <v>Jul</v>
          </cell>
          <cell r="C36" t="str">
            <v>“Velasco”</v>
          </cell>
          <cell r="E36">
            <v>1989</v>
          </cell>
          <cell r="F36" t="str">
            <v>Oct</v>
          </cell>
          <cell r="G36" t="str">
            <v>Jerry</v>
          </cell>
        </row>
        <row r="37">
          <cell r="A37">
            <v>1909</v>
          </cell>
          <cell r="B37" t="str">
            <v>Aug</v>
          </cell>
          <cell r="E37">
            <v>1999</v>
          </cell>
          <cell r="F37" t="str">
            <v>Aug</v>
          </cell>
          <cell r="G37" t="str">
            <v>Bret</v>
          </cell>
        </row>
        <row r="38">
          <cell r="A38">
            <v>1910</v>
          </cell>
          <cell r="B38" t="str">
            <v>Sep</v>
          </cell>
          <cell r="E38">
            <v>2003</v>
          </cell>
          <cell r="F38" t="str">
            <v>Jul</v>
          </cell>
          <cell r="G38" t="str">
            <v>Claudette</v>
          </cell>
        </row>
        <row r="39">
          <cell r="A39">
            <v>1912</v>
          </cell>
          <cell r="B39" t="str">
            <v>Oct</v>
          </cell>
          <cell r="E39">
            <v>2005</v>
          </cell>
          <cell r="F39" t="str">
            <v>Sep</v>
          </cell>
          <cell r="G39" t="str">
            <v>Rita</v>
          </cell>
        </row>
        <row r="40">
          <cell r="A40">
            <v>1913</v>
          </cell>
          <cell r="B40" t="str">
            <v>Jun</v>
          </cell>
          <cell r="E40">
            <v>2007</v>
          </cell>
          <cell r="F40" t="str">
            <v>Sep</v>
          </cell>
          <cell r="G40" t="str">
            <v>Humberto</v>
          </cell>
        </row>
        <row r="41">
          <cell r="A41">
            <v>1915</v>
          </cell>
          <cell r="B41" t="str">
            <v>Aug</v>
          </cell>
          <cell r="C41" t="str">
            <v>“Galveston”</v>
          </cell>
          <cell r="E41">
            <v>2008</v>
          </cell>
          <cell r="F41" t="str">
            <v>Jul</v>
          </cell>
          <cell r="G41" t="str">
            <v>Dolly</v>
          </cell>
        </row>
        <row r="42">
          <cell r="A42">
            <v>1916</v>
          </cell>
          <cell r="B42" t="str">
            <v>Aug</v>
          </cell>
          <cell r="C42"/>
          <cell r="E42">
            <v>2008</v>
          </cell>
          <cell r="F42" t="str">
            <v>Sep</v>
          </cell>
          <cell r="G42" t="str">
            <v>Ike</v>
          </cell>
        </row>
        <row r="43">
          <cell r="A43">
            <v>1919</v>
          </cell>
          <cell r="B43" t="str">
            <v>Sep</v>
          </cell>
          <cell r="C43"/>
          <cell r="E43">
            <v>2017</v>
          </cell>
          <cell r="F43" t="str">
            <v>Aug</v>
          </cell>
          <cell r="G43" t="str">
            <v>Harvey</v>
          </cell>
        </row>
        <row r="44">
          <cell r="A44">
            <v>1921</v>
          </cell>
          <cell r="B44" t="str">
            <v>Jun</v>
          </cell>
          <cell r="E44">
            <v>2020</v>
          </cell>
          <cell r="F44" t="str">
            <v>Jul</v>
          </cell>
          <cell r="G44" t="str">
            <v>Hanna</v>
          </cell>
        </row>
        <row r="45">
          <cell r="A45">
            <v>1929</v>
          </cell>
          <cell r="B45" t="str">
            <v>Jun</v>
          </cell>
          <cell r="E45">
            <v>2020</v>
          </cell>
          <cell r="F45" t="str">
            <v>Aug</v>
          </cell>
          <cell r="G45" t="str">
            <v>Laura</v>
          </cell>
        </row>
        <row r="46">
          <cell r="A46">
            <v>1932</v>
          </cell>
          <cell r="B46" t="str">
            <v>Aug</v>
          </cell>
          <cell r="C46" t="str">
            <v>“Freeport”</v>
          </cell>
          <cell r="E46">
            <v>2020</v>
          </cell>
          <cell r="F46" t="str">
            <v>Oct</v>
          </cell>
          <cell r="G46" t="str">
            <v>Delta</v>
          </cell>
        </row>
        <row r="47">
          <cell r="A47">
            <v>1933</v>
          </cell>
          <cell r="B47" t="str">
            <v>Aug</v>
          </cell>
          <cell r="E47">
            <v>2021</v>
          </cell>
          <cell r="F47" t="str">
            <v>Sep</v>
          </cell>
          <cell r="G47" t="str">
            <v>Nicholas</v>
          </cell>
        </row>
        <row r="58">
          <cell r="B58" t="str">
            <v>(1), (2) from NOAA Technical Memorandum NWS-NHC-6, updated with actual experience through 2021</v>
          </cell>
        </row>
      </sheetData>
      <sheetData sheetId="35"/>
      <sheetData sheetId="36"/>
      <sheetData sheetId="37"/>
      <sheetData sheetId="38">
        <row r="11">
          <cell r="L11">
            <v>44561</v>
          </cell>
        </row>
        <row r="14">
          <cell r="D14">
            <v>372016601</v>
          </cell>
          <cell r="E14">
            <v>369600488</v>
          </cell>
          <cell r="F14">
            <v>395112773</v>
          </cell>
        </row>
        <row r="15">
          <cell r="D15">
            <v>381571182</v>
          </cell>
          <cell r="E15">
            <v>369179093</v>
          </cell>
          <cell r="F15">
            <v>378504197</v>
          </cell>
        </row>
        <row r="18">
          <cell r="D18">
            <v>59474929</v>
          </cell>
          <cell r="E18">
            <v>59103153</v>
          </cell>
          <cell r="F18">
            <v>63161029</v>
          </cell>
        </row>
        <row r="19">
          <cell r="G19">
            <v>0.16</v>
          </cell>
        </row>
        <row r="22">
          <cell r="D22">
            <v>0</v>
          </cell>
          <cell r="E22">
            <v>0</v>
          </cell>
          <cell r="F22">
            <v>0</v>
          </cell>
        </row>
        <row r="23">
          <cell r="G23">
            <v>0</v>
          </cell>
        </row>
        <row r="26">
          <cell r="D26">
            <v>31461936</v>
          </cell>
          <cell r="E26">
            <v>31624678</v>
          </cell>
          <cell r="F26">
            <v>29979903</v>
          </cell>
        </row>
        <row r="29">
          <cell r="D29">
            <v>0</v>
          </cell>
          <cell r="E29">
            <v>0</v>
          </cell>
          <cell r="F29">
            <v>0</v>
          </cell>
        </row>
        <row r="32">
          <cell r="G32">
            <v>8.2000000000000003E-2</v>
          </cell>
        </row>
        <row r="35">
          <cell r="D35">
            <v>7024246</v>
          </cell>
          <cell r="E35">
            <v>6904349</v>
          </cell>
          <cell r="F35">
            <v>7364210</v>
          </cell>
        </row>
        <row r="36">
          <cell r="G36">
            <v>1.9E-2</v>
          </cell>
        </row>
        <row r="40">
          <cell r="A40" t="str">
            <v>(8)</v>
          </cell>
          <cell r="B40" t="str">
            <v>Outstanding Class 1 Public Security Repayment</v>
          </cell>
          <cell r="G40">
            <v>0</v>
          </cell>
        </row>
        <row r="42">
          <cell r="A42" t="str">
            <v>(9)</v>
          </cell>
          <cell r="B42" t="str">
            <v>Total Fixed Expenses</v>
          </cell>
        </row>
        <row r="44">
          <cell r="A44" t="str">
            <v>(10)</v>
          </cell>
          <cell r="B44" t="str">
            <v>Total Variable Expenses</v>
          </cell>
          <cell r="G44">
            <v>0.17899999999999999</v>
          </cell>
        </row>
        <row r="46">
          <cell r="A46" t="str">
            <v>(11)</v>
          </cell>
          <cell r="B46" t="str">
            <v>CRTF Contribution &amp; UW Contingency &amp; Uncertainty</v>
          </cell>
          <cell r="G46">
            <v>0.05</v>
          </cell>
        </row>
        <row r="54">
          <cell r="B54" t="str">
            <v>(1) - (6) From TWIA's Statutory Annual Statements and Insurance Expense Exhibits</v>
          </cell>
        </row>
        <row r="55">
          <cell r="B55" t="str">
            <v>(7) Exhibit 11, Sheet 2</v>
          </cell>
        </row>
        <row r="56">
          <cell r="B56" t="str">
            <v>(8) Outstanding Class 1 Public Security issued in 2014, Security depleted due to Hurricane Harvey; Outstanding principles have been paid off in 2022</v>
          </cell>
        </row>
        <row r="57">
          <cell r="B57" t="str">
            <v>(9) = (5) + (7) + (8)</v>
          </cell>
        </row>
        <row r="58">
          <cell r="B58" t="str">
            <v>(10) = (3) + (4) + (6)</v>
          </cell>
        </row>
        <row r="59">
          <cell r="B59" t="str">
            <v xml:space="preserve">(11) CRTF contribution selected judgmentally </v>
          </cell>
        </row>
        <row r="60">
          <cell r="B60" t="str">
            <v>(12) = 100% - (10) - (11)</v>
          </cell>
        </row>
      </sheetData>
      <sheetData sheetId="39">
        <row r="7">
          <cell r="D7" t="str">
            <v>Combined</v>
          </cell>
          <cell r="E7" t="str">
            <v>Residential</v>
          </cell>
          <cell r="F7" t="str">
            <v>Commercial</v>
          </cell>
        </row>
        <row r="10">
          <cell r="D10">
            <v>116631547</v>
          </cell>
          <cell r="E10">
            <v>97295616.231216893</v>
          </cell>
          <cell r="F10">
            <v>19335930.768783104</v>
          </cell>
          <cell r="J10">
            <v>44713</v>
          </cell>
          <cell r="K10">
            <v>45077</v>
          </cell>
        </row>
        <row r="13">
          <cell r="C13" t="str">
            <v>100% of $2036M XS $2200M</v>
          </cell>
          <cell r="D13">
            <v>30831901.97622969</v>
          </cell>
          <cell r="E13">
            <v>25851653.560233299</v>
          </cell>
          <cell r="F13">
            <v>4980248.4159963904</v>
          </cell>
        </row>
        <row r="14">
          <cell r="J14">
            <v>44530</v>
          </cell>
        </row>
        <row r="18">
          <cell r="C18" t="str">
            <v>100% of $2036M XS $2200M</v>
          </cell>
          <cell r="D18">
            <v>19211332.688596342</v>
          </cell>
          <cell r="E18">
            <v>15895090.6111155</v>
          </cell>
          <cell r="F18">
            <v>3316242.07748084</v>
          </cell>
          <cell r="J18">
            <v>1.08</v>
          </cell>
        </row>
        <row r="22">
          <cell r="D22">
            <v>25021617.332413018</v>
          </cell>
          <cell r="E22">
            <v>20873372.085674398</v>
          </cell>
          <cell r="F22">
            <v>4148245.2467386154</v>
          </cell>
        </row>
        <row r="26">
          <cell r="D26">
            <v>27023347</v>
          </cell>
          <cell r="E26">
            <v>22543242</v>
          </cell>
          <cell r="F26">
            <v>4480105</v>
          </cell>
        </row>
        <row r="29">
          <cell r="J29">
            <v>44561</v>
          </cell>
        </row>
        <row r="30">
          <cell r="D30">
            <v>400352299.14375114</v>
          </cell>
          <cell r="E30">
            <v>335413157.14375114</v>
          </cell>
          <cell r="F30">
            <v>64939142</v>
          </cell>
        </row>
        <row r="32">
          <cell r="D32">
            <v>446481829</v>
          </cell>
          <cell r="E32">
            <v>374060247</v>
          </cell>
          <cell r="F32">
            <v>72421582</v>
          </cell>
        </row>
        <row r="34">
          <cell r="D34">
            <v>0.19161966376463666</v>
          </cell>
          <cell r="E34">
            <v>0.19080051543466178</v>
          </cell>
          <cell r="F34">
            <v>0.19585059628748655</v>
          </cell>
        </row>
        <row r="38">
          <cell r="B38" t="str">
            <v>(1) From TWIA reinsurance contract effective 6/1/2022 through 5/31/2023</v>
          </cell>
        </row>
        <row r="39">
          <cell r="B39" t="str">
            <v>(2a) Provided by AON, based on AIR model using TWIA exposures as of 11/30/2021</v>
          </cell>
        </row>
        <row r="40">
          <cell r="B40" t="str">
            <v>(2b) Provided by AON, based on RMS model using TWIA exposures as of 11/30/2021</v>
          </cell>
        </row>
        <row r="41">
          <cell r="B41" t="str">
            <v>(2c) Selected equal to the average of the modeled average annual losses</v>
          </cell>
        </row>
        <row r="42">
          <cell r="B42" t="str">
            <v>(3) Selected based on projections communicated to reinsurers</v>
          </cell>
        </row>
        <row r="43">
          <cell r="B43" t="str">
            <v>(4) = (2c) * [(1+ (3)) ^ 1.000](projected exposure growth from 11/30/2021 to 12/1/2022)</v>
          </cell>
        </row>
        <row r="44">
          <cell r="B44" t="str">
            <v>(5) = (1) - (4)*1.15,1.15 is the loading for loss adjustment factor</v>
          </cell>
        </row>
        <row r="45">
          <cell r="B45" t="str">
            <v>(6) = Commercial Exhibit 10, Sheet 1 + Residential Exhibit 10, Sheet 2, calendar year ending 12/31/2021</v>
          </cell>
        </row>
        <row r="46">
          <cell r="B46" t="str">
            <v>(7) = (6) adjusted for exposure growth trend * [(1+ (3)) ^ 1.417] (projected exposure growth from 7/1/2021 to 12/1/2022)</v>
          </cell>
        </row>
        <row r="47">
          <cell r="B47" t="str">
            <v>(8) = (5) / (7)</v>
          </cell>
        </row>
      </sheetData>
      <sheetData sheetId="40"/>
      <sheetData sheetId="41">
        <row r="14">
          <cell r="C14">
            <v>10672677</v>
          </cell>
          <cell r="D14">
            <v>15758330</v>
          </cell>
          <cell r="F14">
            <v>26510501</v>
          </cell>
        </row>
        <row r="15">
          <cell r="C15">
            <v>12865905</v>
          </cell>
          <cell r="D15">
            <v>19259265</v>
          </cell>
          <cell r="F15">
            <v>32419287</v>
          </cell>
        </row>
        <row r="16">
          <cell r="C16">
            <v>15640660</v>
          </cell>
          <cell r="D16">
            <v>24504127</v>
          </cell>
          <cell r="F16">
            <v>40358575</v>
          </cell>
        </row>
        <row r="17">
          <cell r="C17">
            <v>16536186</v>
          </cell>
          <cell r="D17">
            <v>25783455</v>
          </cell>
          <cell r="F17">
            <v>42462844</v>
          </cell>
        </row>
        <row r="18">
          <cell r="C18">
            <v>16558977</v>
          </cell>
          <cell r="D18">
            <v>27833800</v>
          </cell>
          <cell r="F18">
            <v>44410914</v>
          </cell>
        </row>
        <row r="19">
          <cell r="C19">
            <v>17394142.049999997</v>
          </cell>
          <cell r="D19">
            <v>27168992</v>
          </cell>
          <cell r="F19">
            <v>44581218</v>
          </cell>
        </row>
        <row r="20">
          <cell r="C20">
            <v>17332561</v>
          </cell>
          <cell r="D20">
            <v>29762296</v>
          </cell>
          <cell r="F20">
            <v>48012426</v>
          </cell>
        </row>
        <row r="21">
          <cell r="C21">
            <v>17544251</v>
          </cell>
          <cell r="D21">
            <v>36220622.519999996</v>
          </cell>
          <cell r="F21">
            <v>54630727</v>
          </cell>
        </row>
        <row r="22">
          <cell r="C22">
            <v>24013525</v>
          </cell>
          <cell r="D22">
            <v>48856422.25</v>
          </cell>
          <cell r="F22">
            <v>72967831</v>
          </cell>
        </row>
        <row r="23">
          <cell r="C23">
            <v>29220514</v>
          </cell>
          <cell r="D23">
            <v>58573191</v>
          </cell>
          <cell r="F23">
            <v>87987279</v>
          </cell>
        </row>
        <row r="24">
          <cell r="C24">
            <v>31009323</v>
          </cell>
          <cell r="D24">
            <v>71292702</v>
          </cell>
          <cell r="F24">
            <v>102384351</v>
          </cell>
        </row>
        <row r="25">
          <cell r="C25">
            <v>35740174</v>
          </cell>
          <cell r="D25">
            <v>78094458</v>
          </cell>
          <cell r="F25">
            <v>113927701</v>
          </cell>
        </row>
        <row r="26">
          <cell r="C26">
            <v>76847840</v>
          </cell>
          <cell r="D26">
            <v>119658576</v>
          </cell>
          <cell r="F26">
            <v>196833235</v>
          </cell>
        </row>
        <row r="27">
          <cell r="C27">
            <v>110951718</v>
          </cell>
          <cell r="D27">
            <v>203561196</v>
          </cell>
          <cell r="F27">
            <v>315139307</v>
          </cell>
        </row>
        <row r="28">
          <cell r="C28">
            <v>98036118.420000017</v>
          </cell>
          <cell r="D28">
            <v>232925989.76999998</v>
          </cell>
          <cell r="F28">
            <v>331057645</v>
          </cell>
        </row>
        <row r="29">
          <cell r="C29">
            <v>111269572.63</v>
          </cell>
          <cell r="D29">
            <v>269535059.02999997</v>
          </cell>
          <cell r="F29">
            <v>382342402</v>
          </cell>
        </row>
        <row r="30">
          <cell r="C30">
            <v>102174679.52999991</v>
          </cell>
          <cell r="D30">
            <v>278116922.00999999</v>
          </cell>
          <cell r="F30">
            <v>385549582</v>
          </cell>
        </row>
        <row r="31">
          <cell r="C31">
            <v>100017021</v>
          </cell>
          <cell r="D31">
            <v>307494236.20000005</v>
          </cell>
          <cell r="F31">
            <v>403748164</v>
          </cell>
        </row>
        <row r="32">
          <cell r="C32">
            <v>110524396.51999998</v>
          </cell>
          <cell r="D32">
            <v>335795725.19999981</v>
          </cell>
          <cell r="F32">
            <v>443479701</v>
          </cell>
        </row>
        <row r="33">
          <cell r="C33">
            <v>112904624</v>
          </cell>
          <cell r="D33">
            <v>360838080.7099998</v>
          </cell>
          <cell r="F33">
            <v>472739474</v>
          </cell>
        </row>
        <row r="34">
          <cell r="C34">
            <v>104642688</v>
          </cell>
          <cell r="D34">
            <v>389333918.13999987</v>
          </cell>
          <cell r="F34">
            <v>494036010</v>
          </cell>
        </row>
        <row r="35">
          <cell r="C35">
            <v>98715934</v>
          </cell>
          <cell r="D35">
            <v>407969846.0800004</v>
          </cell>
          <cell r="F35">
            <v>503824316</v>
          </cell>
        </row>
        <row r="36">
          <cell r="C36">
            <v>88278690</v>
          </cell>
          <cell r="D36">
            <v>399074847</v>
          </cell>
          <cell r="F36">
            <v>487353537</v>
          </cell>
        </row>
        <row r="37">
          <cell r="C37">
            <v>70749081</v>
          </cell>
          <cell r="D37">
            <v>352368052</v>
          </cell>
          <cell r="F37">
            <v>423074138</v>
          </cell>
        </row>
        <row r="38">
          <cell r="C38">
            <v>65696833</v>
          </cell>
          <cell r="D38">
            <v>331676957</v>
          </cell>
          <cell r="F38">
            <v>395551679</v>
          </cell>
        </row>
        <row r="39">
          <cell r="C39">
            <v>59123729</v>
          </cell>
          <cell r="D39">
            <v>314907158.99999952</v>
          </cell>
          <cell r="F39">
            <v>372016601</v>
          </cell>
        </row>
        <row r="40">
          <cell r="C40">
            <v>60327052</v>
          </cell>
          <cell r="D40">
            <v>310312753</v>
          </cell>
          <cell r="F40">
            <v>369600488</v>
          </cell>
        </row>
        <row r="41">
          <cell r="C41">
            <v>63366551</v>
          </cell>
          <cell r="D41">
            <v>331736850</v>
          </cell>
          <cell r="F41">
            <v>395112773</v>
          </cell>
        </row>
        <row r="47">
          <cell r="B47" t="str">
            <v>(2), (3) Provided by TWIA, as of 12/31/2021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1"/>
      <sheetName val="2.1"/>
      <sheetName val="2.2"/>
      <sheetName val="2.3"/>
      <sheetName val="2.4"/>
      <sheetName val="3.1"/>
      <sheetName val="3.2 premium trend"/>
      <sheetName val="3.3a"/>
      <sheetName val="3.3b"/>
      <sheetName val="3.3c"/>
      <sheetName val="3.3d"/>
      <sheetName val="4.1"/>
      <sheetName val="4.2"/>
      <sheetName val="4.3"/>
      <sheetName val="4.4"/>
      <sheetName val="4.5"/>
      <sheetName val="5"/>
      <sheetName val="6.1"/>
      <sheetName val="6.2 - industry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"/>
      <sheetName val="10.2"/>
      <sheetName val="10.3"/>
      <sheetName val="11.1"/>
      <sheetName val="11.2"/>
      <sheetName val="12.1"/>
      <sheetName val="12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11">
          <cell r="M11">
            <v>12</v>
          </cell>
        </row>
      </sheetData>
      <sheetData sheetId="15"/>
      <sheetData sheetId="16">
        <row r="11">
          <cell r="L11">
            <v>12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.1"/>
      <sheetName val="2.2a"/>
      <sheetName val="2.2b"/>
      <sheetName val="2.2c"/>
      <sheetName val="2.2d"/>
      <sheetName val="2.3a"/>
      <sheetName val="2.3b"/>
      <sheetName val="2.3c"/>
      <sheetName val="2.3d"/>
      <sheetName val="2.4a"/>
      <sheetName val="2.4b"/>
      <sheetName val="2.4c"/>
      <sheetName val="2.4d"/>
      <sheetName val="trend 2.5"/>
      <sheetName val="ldf 3.1"/>
      <sheetName val="3.2"/>
      <sheetName val="3.3a"/>
      <sheetName val="3.3b"/>
      <sheetName val="3.3c"/>
      <sheetName val="3.3d"/>
      <sheetName val="4.1"/>
      <sheetName val="4.2"/>
      <sheetName val="4.3"/>
      <sheetName val="4.4"/>
      <sheetName val="4.5"/>
      <sheetName val="5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a"/>
      <sheetName val="10.1b"/>
      <sheetName val="10.1c"/>
      <sheetName val="10.1d"/>
      <sheetName val="10.2"/>
      <sheetName val="11.1"/>
      <sheetName val="11.2"/>
      <sheetName val="12"/>
      <sheetName val="1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0">
          <cell r="G30">
            <v>1.0640000000000001</v>
          </cell>
        </row>
        <row r="32">
          <cell r="G32">
            <v>0.96499999999999997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.1"/>
      <sheetName val="2.2a"/>
      <sheetName val="2.2b"/>
      <sheetName val="2.2c"/>
      <sheetName val="2.2d"/>
      <sheetName val="2.3a"/>
      <sheetName val="2.3b"/>
      <sheetName val="2.3c"/>
      <sheetName val="2.3d"/>
      <sheetName val="2.4a"/>
      <sheetName val="2.4b"/>
      <sheetName val="2.4c"/>
      <sheetName val="2.4d"/>
      <sheetName val="trend 2.5"/>
      <sheetName val="ldf 3.1"/>
      <sheetName val="3.2"/>
      <sheetName val="3.3a"/>
      <sheetName val="3.3b"/>
      <sheetName val="3.3c"/>
      <sheetName val="3.3d"/>
      <sheetName val="4.1"/>
      <sheetName val="4.2"/>
      <sheetName val="4.3AS loss Dev"/>
      <sheetName val="4.4"/>
      <sheetName val="4.5AS LAE Dev"/>
      <sheetName val="5"/>
      <sheetName val="6.1"/>
      <sheetName val="6.2"/>
      <sheetName val="6.3"/>
      <sheetName val="6.4"/>
      <sheetName val="6.5"/>
      <sheetName val="6.6"/>
      <sheetName val="6.7"/>
      <sheetName val="7.1"/>
      <sheetName val="7.2"/>
      <sheetName val="8.1"/>
      <sheetName val="8.2"/>
      <sheetName val="9"/>
      <sheetName val="10.1a"/>
      <sheetName val="10.1b"/>
      <sheetName val="10.1c"/>
      <sheetName val="10.1d"/>
      <sheetName val="10.2"/>
      <sheetName val="11.1"/>
      <sheetName val="11.2"/>
      <sheetName val="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0">
          <cell r="G30">
            <v>1.214</v>
          </cell>
        </row>
        <row r="31">
          <cell r="G31">
            <v>1.1879999999999999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Candara">
      <a:maj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Candara" panose="020E0502030303020204"/>
        <a:ea typeface=""/>
        <a:cs typeface=""/>
        <a:font script="Jpan" typeface="HGｺﾞｼｯｸM"/>
        <a:font script="Hang" typeface="HY엽서L"/>
        <a:font script="Hans" typeface="华文楷体"/>
        <a:font script="Hant" typeface="新細明體"/>
        <a:font script="Arab" typeface="Tahoma"/>
        <a:font script="Hebr" typeface="Miriam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89CF4-958E-4F41-87CA-8E5C65EFF1A2}">
  <sheetPr>
    <tabColor rgb="FF92D050"/>
  </sheetPr>
  <dimension ref="B31:I33"/>
  <sheetViews>
    <sheetView showGridLines="0" topLeftCell="A27" zoomScaleNormal="100" workbookViewId="0">
      <selection activeCell="F36" sqref="F36"/>
    </sheetView>
  </sheetViews>
  <sheetFormatPr defaultRowHeight="10" x14ac:dyDescent="0.2"/>
  <cols>
    <col min="1" max="1" width="13.44140625" customWidth="1"/>
    <col min="2" max="2" width="12.33203125" customWidth="1"/>
    <col min="3" max="12" width="10.44140625" customWidth="1"/>
  </cols>
  <sheetData>
    <row r="31" spans="2:9" ht="15.5" x14ac:dyDescent="0.35">
      <c r="B31" s="380" t="s">
        <v>0</v>
      </c>
      <c r="C31" s="380"/>
      <c r="D31" s="380"/>
      <c r="E31" s="380"/>
      <c r="F31" s="380"/>
      <c r="G31" s="380"/>
      <c r="H31" s="380"/>
      <c r="I31" s="380"/>
    </row>
    <row r="32" spans="2:9" ht="15.5" x14ac:dyDescent="0.35">
      <c r="B32" s="380" t="s">
        <v>1</v>
      </c>
      <c r="C32" s="380"/>
      <c r="D32" s="380"/>
      <c r="E32" s="380"/>
      <c r="F32" s="380"/>
      <c r="G32" s="380"/>
      <c r="H32" s="380"/>
      <c r="I32" s="380"/>
    </row>
    <row r="33" spans="2:9" ht="15.5" x14ac:dyDescent="0.35">
      <c r="B33" s="380" t="s">
        <v>433</v>
      </c>
      <c r="C33" s="380"/>
      <c r="D33" s="380"/>
      <c r="E33" s="380"/>
      <c r="F33" s="380"/>
      <c r="G33" s="380"/>
      <c r="H33" s="380"/>
      <c r="I33" s="380"/>
    </row>
  </sheetData>
  <mergeCells count="3">
    <mergeCell ref="B31:I31"/>
    <mergeCell ref="B32:I32"/>
    <mergeCell ref="B33:I33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tabColor rgb="FF92D050"/>
  </sheetPr>
  <dimension ref="A1:M69"/>
  <sheetViews>
    <sheetView showGridLines="0" topLeftCell="A22" workbookViewId="0">
      <selection activeCell="C26" sqref="C26"/>
    </sheetView>
  </sheetViews>
  <sheetFormatPr defaultColWidth="11.33203125" defaultRowHeight="10" x14ac:dyDescent="0.2"/>
  <cols>
    <col min="1" max="1" width="5.109375" bestFit="1" customWidth="1"/>
    <col min="2" max="2" width="11.33203125" customWidth="1"/>
    <col min="3" max="5" width="15.33203125" customWidth="1"/>
    <col min="6" max="9" width="11.33203125" customWidth="1"/>
    <col min="10" max="10" width="13.44140625" customWidth="1"/>
  </cols>
  <sheetData>
    <row r="1" spans="1:12" ht="10.5" x14ac:dyDescent="0.25">
      <c r="A1" s="8" t="str">
        <f>'1'!$A$1</f>
        <v>Texas Windstorm Insurance Association</v>
      </c>
      <c r="B1" s="12"/>
      <c r="J1" s="7" t="s">
        <v>20</v>
      </c>
      <c r="K1" s="1"/>
    </row>
    <row r="2" spans="1:12" ht="10.5" x14ac:dyDescent="0.25">
      <c r="A2" s="8" t="str">
        <f>'1'!$A$2</f>
        <v>Residential Property - Wind &amp; Hail</v>
      </c>
      <c r="B2" s="12"/>
      <c r="J2" s="7" t="s">
        <v>57</v>
      </c>
      <c r="K2" s="2"/>
    </row>
    <row r="3" spans="1:12" ht="10.5" x14ac:dyDescent="0.25">
      <c r="A3" s="8" t="str">
        <f>'1'!$A$3</f>
        <v>Rate Level Review</v>
      </c>
      <c r="B3" s="12"/>
      <c r="K3" s="2"/>
    </row>
    <row r="4" spans="1:12" x14ac:dyDescent="0.2">
      <c r="A4" t="s">
        <v>52</v>
      </c>
      <c r="B4" s="12"/>
      <c r="K4" s="2"/>
    </row>
    <row r="5" spans="1:12" x14ac:dyDescent="0.2">
      <c r="A5" t="s">
        <v>45</v>
      </c>
      <c r="B5" s="12"/>
      <c r="K5" s="2"/>
    </row>
    <row r="6" spans="1:12" x14ac:dyDescent="0.2">
      <c r="K6" s="2"/>
    </row>
    <row r="7" spans="1:12" ht="10.5" thickBot="1" x14ac:dyDescent="0.25">
      <c r="A7" s="6"/>
      <c r="B7" s="6"/>
      <c r="C7" s="6"/>
      <c r="D7" s="6"/>
      <c r="E7" s="6"/>
      <c r="K7" s="2"/>
    </row>
    <row r="8" spans="1:12" ht="10.5" thickTop="1" x14ac:dyDescent="0.2">
      <c r="K8" s="2"/>
    </row>
    <row r="9" spans="1:12" x14ac:dyDescent="0.2">
      <c r="C9" s="96" t="s">
        <v>321</v>
      </c>
      <c r="E9" t="s">
        <v>35</v>
      </c>
      <c r="K9" s="2"/>
      <c r="L9" s="27"/>
    </row>
    <row r="10" spans="1:12" x14ac:dyDescent="0.2">
      <c r="A10" t="s">
        <v>53</v>
      </c>
      <c r="C10" t="s">
        <v>8</v>
      </c>
      <c r="D10" t="s">
        <v>56</v>
      </c>
      <c r="E10" t="s">
        <v>8</v>
      </c>
      <c r="K10" s="2"/>
    </row>
    <row r="11" spans="1:12" x14ac:dyDescent="0.2">
      <c r="A11" s="9" t="s">
        <v>54</v>
      </c>
      <c r="B11" s="9"/>
      <c r="C11" s="9" t="s">
        <v>55</v>
      </c>
      <c r="D11" s="9" t="s">
        <v>37</v>
      </c>
      <c r="E11" s="9" t="s">
        <v>41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K13" s="2"/>
    </row>
    <row r="14" spans="1:12" x14ac:dyDescent="0.2">
      <c r="A14" t="str">
        <f t="shared" ref="A14:A22" si="0">TEXT(A15-1,"#")</f>
        <v>2012</v>
      </c>
      <c r="B14" s="25"/>
      <c r="C14" s="33">
        <f>'2.4b'!C14</f>
        <v>20630853</v>
      </c>
      <c r="D14" s="44">
        <v>1</v>
      </c>
      <c r="E14" s="31">
        <f t="shared" ref="E14:E23" si="1">ROUND(C14*D14,0)</f>
        <v>20630853</v>
      </c>
      <c r="K14" s="2"/>
    </row>
    <row r="15" spans="1:12" x14ac:dyDescent="0.2">
      <c r="A15" t="str">
        <f t="shared" si="0"/>
        <v>2013</v>
      </c>
      <c r="B15" s="25"/>
      <c r="C15" s="33">
        <f>'2.4b'!C15</f>
        <v>6175709</v>
      </c>
      <c r="D15" s="36">
        <f>INDEX('ldf 3.1a'!$C$46:$K$46,11-MATCH(A15,A$14:A$23))</f>
        <v>1</v>
      </c>
      <c r="E15" s="31">
        <f t="shared" si="1"/>
        <v>6175709</v>
      </c>
      <c r="K15" s="2"/>
    </row>
    <row r="16" spans="1:12" x14ac:dyDescent="0.2">
      <c r="A16" t="str">
        <f t="shared" si="0"/>
        <v>2014</v>
      </c>
      <c r="B16" s="25"/>
      <c r="C16" s="33">
        <f>'2.4b'!C16</f>
        <v>1618066</v>
      </c>
      <c r="D16" s="36">
        <f>INDEX('ldf 3.1a'!$C$46:$K$46,11-MATCH(A16,A$14:A$23))</f>
        <v>1</v>
      </c>
      <c r="E16" s="31">
        <f t="shared" si="1"/>
        <v>1618066</v>
      </c>
      <c r="K16" s="2"/>
    </row>
    <row r="17" spans="1:13" x14ac:dyDescent="0.2">
      <c r="A17" t="str">
        <f t="shared" si="0"/>
        <v>2015</v>
      </c>
      <c r="B17" s="25"/>
      <c r="C17" s="33">
        <f>'2.4b'!C17</f>
        <v>9461279</v>
      </c>
      <c r="D17" s="36">
        <f>INDEX('ldf 3.1a'!$C$46:$K$46,11-MATCH(A17,A$14:A$23))</f>
        <v>1</v>
      </c>
      <c r="E17" s="31">
        <f t="shared" si="1"/>
        <v>9461279</v>
      </c>
      <c r="K17" s="2"/>
    </row>
    <row r="18" spans="1:13" x14ac:dyDescent="0.2">
      <c r="A18" t="str">
        <f t="shared" si="0"/>
        <v>2016</v>
      </c>
      <c r="B18" s="25"/>
      <c r="C18" s="33">
        <f>'2.4b'!C18</f>
        <v>9531194</v>
      </c>
      <c r="D18" s="36">
        <f>INDEX('ldf 3.1a'!$C$46:$K$46,11-MATCH(A18,A$14:A$23))</f>
        <v>1.0009999999999999</v>
      </c>
      <c r="E18" s="31">
        <f t="shared" si="1"/>
        <v>9540725</v>
      </c>
      <c r="K18" s="2"/>
    </row>
    <row r="19" spans="1:13" x14ac:dyDescent="0.2">
      <c r="A19" t="str">
        <f t="shared" si="0"/>
        <v>2017</v>
      </c>
      <c r="B19" s="25"/>
      <c r="C19" s="33">
        <f>'2.4b'!C19</f>
        <v>7641292</v>
      </c>
      <c r="D19" s="36">
        <f>INDEX('ldf 3.1a'!$C$46:$K$46,11-MATCH(A19,A$14:A$23))</f>
        <v>1.004</v>
      </c>
      <c r="E19" s="31">
        <f t="shared" si="1"/>
        <v>7671857</v>
      </c>
      <c r="K19" s="2"/>
    </row>
    <row r="20" spans="1:13" x14ac:dyDescent="0.2">
      <c r="A20" t="str">
        <f t="shared" si="0"/>
        <v>2018</v>
      </c>
      <c r="B20" s="25"/>
      <c r="C20" s="33">
        <f>'2.4b'!C20</f>
        <v>1138023</v>
      </c>
      <c r="D20" s="36">
        <f>INDEX('ldf 3.1a'!$C$46:$K$46,11-MATCH(A20,A$14:A$23))</f>
        <v>1.012</v>
      </c>
      <c r="E20" s="31">
        <f t="shared" si="1"/>
        <v>1151679</v>
      </c>
      <c r="K20" s="2"/>
    </row>
    <row r="21" spans="1:13" x14ac:dyDescent="0.2">
      <c r="A21" t="str">
        <f t="shared" si="0"/>
        <v>2019</v>
      </c>
      <c r="B21" s="25"/>
      <c r="C21" s="33">
        <f>'2.4b'!C21</f>
        <v>822616</v>
      </c>
      <c r="D21" s="36">
        <f>INDEX('ldf 3.1a'!$C$46:$K$46,11-MATCH(A21,A$14:A$23))</f>
        <v>1.0289999999999999</v>
      </c>
      <c r="E21" s="31">
        <f t="shared" si="1"/>
        <v>846472</v>
      </c>
      <c r="K21" s="2"/>
      <c r="L21" t="s">
        <v>217</v>
      </c>
      <c r="M21" t="s">
        <v>218</v>
      </c>
    </row>
    <row r="22" spans="1:13" x14ac:dyDescent="0.2">
      <c r="A22" t="str">
        <f t="shared" si="0"/>
        <v>2020</v>
      </c>
      <c r="B22" s="51"/>
      <c r="C22" s="49">
        <f>'2.4b'!C22</f>
        <v>452157</v>
      </c>
      <c r="D22" s="36">
        <f>INDEX('ldf 3.1a'!$C$46:$K$46,11-MATCH(A22,A$14:A$23))</f>
        <v>1.0820000000000001</v>
      </c>
      <c r="E22" s="120">
        <f t="shared" si="1"/>
        <v>489234</v>
      </c>
      <c r="K22" s="2"/>
      <c r="L22" s="84">
        <f>'2.4a'!L$22</f>
        <v>44469</v>
      </c>
      <c r="M22" s="84">
        <f>'2.4a'!M$22</f>
        <v>44561</v>
      </c>
    </row>
    <row r="23" spans="1:13" x14ac:dyDescent="0.2">
      <c r="A23" t="str">
        <f>TEXT(YEAR($L$22),"#")</f>
        <v>2021</v>
      </c>
      <c r="B23" s="51"/>
      <c r="C23" s="49">
        <f>'2.4b'!C23</f>
        <v>497091</v>
      </c>
      <c r="D23" s="36">
        <f>INDEX('ldf 3.1a'!$C$46:$K$46,11-MATCH(A23,A$14:A$23))</f>
        <v>1.2669999999999999</v>
      </c>
      <c r="E23" s="120">
        <f t="shared" si="1"/>
        <v>629814</v>
      </c>
      <c r="K23" s="2"/>
      <c r="L23" s="84"/>
      <c r="M23" s="84"/>
    </row>
    <row r="24" spans="1:13" x14ac:dyDescent="0.2">
      <c r="A24" s="9"/>
      <c r="B24" s="26"/>
      <c r="C24" s="34"/>
      <c r="D24" s="190"/>
      <c r="E24" s="32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57968280</v>
      </c>
      <c r="E26" s="19">
        <f>SUM(E14:E24)</f>
        <v>58215688</v>
      </c>
      <c r="K26" s="2"/>
    </row>
    <row r="27" spans="1:13" ht="10.5" thickBot="1" x14ac:dyDescent="0.25">
      <c r="A27" s="6"/>
      <c r="B27" s="6"/>
      <c r="C27" s="6"/>
      <c r="D27" s="6"/>
      <c r="E27" s="6"/>
      <c r="K27" s="2"/>
    </row>
    <row r="28" spans="1:13" ht="10.5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22" t="str">
        <f>C12&amp;" "&amp;'2.4b'!$J$1&amp;", "&amp;'2.4b'!$J$2&amp;", as of "&amp;TEXT($M$22,"m/d/yy")</f>
        <v>(2) Exhibit 2, Sheet 4b, as of 12/31/21</v>
      </c>
      <c r="K30" s="2"/>
    </row>
    <row r="31" spans="1:13" x14ac:dyDescent="0.2">
      <c r="B31" s="22" t="str">
        <f>D12&amp;" "&amp;'ldf 3.1a'!$L$1&amp;", "&amp;'ldf 3.1a'!$L$2</f>
        <v>(3) Exhibit 3, Sheet 1</v>
      </c>
      <c r="K31" s="2"/>
    </row>
    <row r="32" spans="1:13" x14ac:dyDescent="0.2">
      <c r="B32" s="22" t="str">
        <f>E12&amp;" = "&amp;C12&amp;" * "&amp;D12</f>
        <v>(4) = (2) * (3)</v>
      </c>
      <c r="K32" s="2"/>
    </row>
    <row r="33" spans="2:11" x14ac:dyDescent="0.2">
      <c r="B33" s="22"/>
      <c r="K33" s="2"/>
    </row>
    <row r="34" spans="2:11" x14ac:dyDescent="0.2">
      <c r="B34" s="22"/>
      <c r="K34" s="2"/>
    </row>
    <row r="35" spans="2:11" x14ac:dyDescent="0.2">
      <c r="B35" s="22"/>
      <c r="K35" s="2"/>
    </row>
    <row r="36" spans="2:11" x14ac:dyDescent="0.2">
      <c r="B36" s="22"/>
      <c r="K36" s="2"/>
    </row>
    <row r="37" spans="2:11" x14ac:dyDescent="0.2">
      <c r="B37" s="25"/>
      <c r="K37" s="2"/>
    </row>
    <row r="38" spans="2:11" x14ac:dyDescent="0.2">
      <c r="B38" s="25"/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0.5" thickBot="1" x14ac:dyDescent="0.25">
      <c r="K68" s="2"/>
    </row>
    <row r="69" spans="1:11" ht="10.5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>
    <tabColor rgb="FF92D050"/>
  </sheetPr>
  <dimension ref="A1:M69"/>
  <sheetViews>
    <sheetView showGridLines="0" topLeftCell="A22" workbookViewId="0">
      <selection activeCell="I28" sqref="I28"/>
    </sheetView>
  </sheetViews>
  <sheetFormatPr defaultColWidth="11.33203125" defaultRowHeight="10" x14ac:dyDescent="0.2"/>
  <cols>
    <col min="1" max="1" width="5.109375" bestFit="1" customWidth="1"/>
    <col min="2" max="2" width="11.33203125" customWidth="1"/>
    <col min="3" max="5" width="15.33203125" customWidth="1"/>
    <col min="6" max="9" width="11.33203125" customWidth="1"/>
    <col min="10" max="10" width="13.44140625" customWidth="1"/>
  </cols>
  <sheetData>
    <row r="1" spans="1:12" ht="10.5" x14ac:dyDescent="0.25">
      <c r="A1" s="8" t="str">
        <f>'1'!$A$1</f>
        <v>Texas Windstorm Insurance Association</v>
      </c>
      <c r="B1" s="12"/>
      <c r="J1" s="7" t="s">
        <v>20</v>
      </c>
      <c r="K1" s="1"/>
    </row>
    <row r="2" spans="1:12" ht="10.5" x14ac:dyDescent="0.25">
      <c r="A2" s="8" t="str">
        <f>'1'!$A$2</f>
        <v>Residential Property - Wind &amp; Hail</v>
      </c>
      <c r="B2" s="12"/>
      <c r="J2" s="7" t="s">
        <v>58</v>
      </c>
      <c r="K2" s="2"/>
    </row>
    <row r="3" spans="1:12" ht="10.5" x14ac:dyDescent="0.25">
      <c r="A3" s="8" t="str">
        <f>'1'!$A$3</f>
        <v>Rate Level Review</v>
      </c>
      <c r="B3" s="12"/>
      <c r="K3" s="2"/>
    </row>
    <row r="4" spans="1:12" x14ac:dyDescent="0.2">
      <c r="A4" t="s">
        <v>52</v>
      </c>
      <c r="B4" s="12"/>
      <c r="K4" s="2"/>
    </row>
    <row r="5" spans="1:12" x14ac:dyDescent="0.2">
      <c r="A5" t="s">
        <v>47</v>
      </c>
      <c r="B5" s="12"/>
      <c r="K5" s="2"/>
    </row>
    <row r="6" spans="1:12" x14ac:dyDescent="0.2">
      <c r="K6" s="2"/>
    </row>
    <row r="7" spans="1:12" ht="10.5" thickBot="1" x14ac:dyDescent="0.25">
      <c r="A7" s="6"/>
      <c r="B7" s="6"/>
      <c r="C7" s="6"/>
      <c r="D7" s="6"/>
      <c r="E7" s="6"/>
      <c r="K7" s="2"/>
    </row>
    <row r="8" spans="1:12" ht="10.5" thickTop="1" x14ac:dyDescent="0.2">
      <c r="K8" s="2"/>
    </row>
    <row r="9" spans="1:12" x14ac:dyDescent="0.2">
      <c r="C9" s="96" t="s">
        <v>321</v>
      </c>
      <c r="E9" t="s">
        <v>35</v>
      </c>
      <c r="K9" s="2"/>
      <c r="L9" s="27"/>
    </row>
    <row r="10" spans="1:12" x14ac:dyDescent="0.2">
      <c r="A10" t="s">
        <v>53</v>
      </c>
      <c r="C10" t="s">
        <v>8</v>
      </c>
      <c r="D10" t="s">
        <v>56</v>
      </c>
      <c r="E10" t="s">
        <v>8</v>
      </c>
      <c r="K10" s="2"/>
    </row>
    <row r="11" spans="1:12" x14ac:dyDescent="0.2">
      <c r="A11" s="9" t="s">
        <v>54</v>
      </c>
      <c r="B11" s="9"/>
      <c r="C11" s="9" t="s">
        <v>55</v>
      </c>
      <c r="D11" s="9" t="s">
        <v>37</v>
      </c>
      <c r="E11" s="9" t="s">
        <v>41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K13" s="2"/>
    </row>
    <row r="14" spans="1:12" x14ac:dyDescent="0.2">
      <c r="A14" t="str">
        <f t="shared" ref="A14:A22" si="0">TEXT(A15-1,"#")</f>
        <v>2012</v>
      </c>
      <c r="B14" s="25"/>
      <c r="C14" s="33">
        <f>'2.4c'!C14</f>
        <v>18946421</v>
      </c>
      <c r="D14" s="44">
        <v>1</v>
      </c>
      <c r="E14" s="31">
        <f t="shared" ref="E14:E23" si="1">ROUND(C14*D14,0)</f>
        <v>18946421</v>
      </c>
      <c r="K14" s="2"/>
    </row>
    <row r="15" spans="1:12" x14ac:dyDescent="0.2">
      <c r="A15" t="str">
        <f t="shared" si="0"/>
        <v>2013</v>
      </c>
      <c r="B15" s="25"/>
      <c r="C15" s="33">
        <f>'2.4c'!C15</f>
        <v>4829039</v>
      </c>
      <c r="D15" s="36">
        <f>INDEX('ldf 3.1a'!$C$46:$K$46,11-MATCH(A15,A$14:A$23))</f>
        <v>1</v>
      </c>
      <c r="E15" s="31">
        <f t="shared" si="1"/>
        <v>4829039</v>
      </c>
      <c r="K15" s="2"/>
    </row>
    <row r="16" spans="1:12" x14ac:dyDescent="0.2">
      <c r="A16" t="str">
        <f t="shared" si="0"/>
        <v>2014</v>
      </c>
      <c r="B16" s="25"/>
      <c r="C16" s="33">
        <f>'2.4c'!C16</f>
        <v>2847173</v>
      </c>
      <c r="D16" s="36">
        <f>INDEX('ldf 3.1a'!$C$46:$K$46,11-MATCH(A16,A$14:A$23))</f>
        <v>1</v>
      </c>
      <c r="E16" s="31">
        <f t="shared" si="1"/>
        <v>2847173</v>
      </c>
      <c r="K16" s="2"/>
    </row>
    <row r="17" spans="1:13" x14ac:dyDescent="0.2">
      <c r="A17" t="str">
        <f t="shared" si="0"/>
        <v>2015</v>
      </c>
      <c r="B17" s="25"/>
      <c r="C17" s="33">
        <f>'2.4c'!C17</f>
        <v>86469178</v>
      </c>
      <c r="D17" s="36">
        <f>INDEX('ldf 3.1a'!$C$46:$K$46,11-MATCH(A17,A$14:A$23))</f>
        <v>1</v>
      </c>
      <c r="E17" s="31">
        <f t="shared" si="1"/>
        <v>86469178</v>
      </c>
      <c r="K17" s="2"/>
    </row>
    <row r="18" spans="1:13" x14ac:dyDescent="0.2">
      <c r="A18" t="str">
        <f t="shared" si="0"/>
        <v>2016</v>
      </c>
      <c r="B18" s="25"/>
      <c r="C18" s="33">
        <f>'2.4c'!C18</f>
        <v>12167890</v>
      </c>
      <c r="D18" s="36">
        <f>INDEX('ldf 3.1a'!$C$46:$K$46,11-MATCH(A18,A$14:A$23))</f>
        <v>1.0009999999999999</v>
      </c>
      <c r="E18" s="31">
        <f t="shared" si="1"/>
        <v>12180058</v>
      </c>
      <c r="K18" s="2"/>
    </row>
    <row r="19" spans="1:13" x14ac:dyDescent="0.2">
      <c r="A19" t="str">
        <f t="shared" si="0"/>
        <v>2017</v>
      </c>
      <c r="B19" s="25"/>
      <c r="C19" s="33">
        <f>'2.4c'!C19</f>
        <v>21818214</v>
      </c>
      <c r="D19" s="36">
        <f>INDEX('ldf 3.1a'!$C$46:$K$46,11-MATCH(A19,A$14:A$23))</f>
        <v>1.004</v>
      </c>
      <c r="E19" s="31">
        <f t="shared" si="1"/>
        <v>21905487</v>
      </c>
      <c r="K19" s="2"/>
    </row>
    <row r="20" spans="1:13" x14ac:dyDescent="0.2">
      <c r="A20" t="str">
        <f t="shared" si="0"/>
        <v>2018</v>
      </c>
      <c r="B20" s="25"/>
      <c r="C20" s="33">
        <f>'2.4c'!C20</f>
        <v>6753481</v>
      </c>
      <c r="D20" s="36">
        <f>INDEX('ldf 3.1a'!$C$46:$K$46,11-MATCH(A20,A$14:A$23))</f>
        <v>1.012</v>
      </c>
      <c r="E20" s="31">
        <f t="shared" si="1"/>
        <v>6834523</v>
      </c>
      <c r="K20" s="2"/>
    </row>
    <row r="21" spans="1:13" x14ac:dyDescent="0.2">
      <c r="A21" t="str">
        <f t="shared" si="0"/>
        <v>2019</v>
      </c>
      <c r="B21" s="25"/>
      <c r="C21" s="33">
        <f>'2.4c'!C21</f>
        <v>9989620</v>
      </c>
      <c r="D21" s="36">
        <f>INDEX('ldf 3.1a'!$C$46:$K$46,11-MATCH(A21,A$14:A$23))</f>
        <v>1.0289999999999999</v>
      </c>
      <c r="E21" s="31">
        <f t="shared" si="1"/>
        <v>10279319</v>
      </c>
      <c r="K21" s="2"/>
      <c r="L21" t="s">
        <v>217</v>
      </c>
      <c r="M21" t="s">
        <v>218</v>
      </c>
    </row>
    <row r="22" spans="1:13" x14ac:dyDescent="0.2">
      <c r="A22" t="str">
        <f t="shared" si="0"/>
        <v>2020</v>
      </c>
      <c r="B22" s="51"/>
      <c r="C22" s="49">
        <f>'2.4c'!C22</f>
        <v>20748163</v>
      </c>
      <c r="D22" s="36">
        <f>INDEX('ldf 3.1a'!$C$46:$K$46,11-MATCH(A22,A$14:A$23))</f>
        <v>1.0820000000000001</v>
      </c>
      <c r="E22" s="120">
        <f t="shared" si="1"/>
        <v>22449512</v>
      </c>
      <c r="K22" s="2"/>
      <c r="L22" s="84">
        <f>'2.4a'!L$22</f>
        <v>44469</v>
      </c>
      <c r="M22" s="84">
        <f>'2.4a'!M$22</f>
        <v>44561</v>
      </c>
    </row>
    <row r="23" spans="1:13" x14ac:dyDescent="0.2">
      <c r="A23" t="str">
        <f>TEXT(YEAR($L$22),"#")</f>
        <v>2021</v>
      </c>
      <c r="B23" s="51"/>
      <c r="C23" s="49">
        <f>'2.4c'!C23</f>
        <v>21214900</v>
      </c>
      <c r="D23" s="36">
        <f>INDEX('ldf 3.1a'!$C$46:$K$46,11-MATCH(A23,A$14:A$23))</f>
        <v>1.2669999999999999</v>
      </c>
      <c r="E23" s="120">
        <f t="shared" si="1"/>
        <v>26879278</v>
      </c>
      <c r="K23" s="2"/>
      <c r="L23" s="84"/>
      <c r="M23" s="84"/>
    </row>
    <row r="24" spans="1:13" x14ac:dyDescent="0.2">
      <c r="A24" s="9"/>
      <c r="B24" s="26"/>
      <c r="C24" s="34"/>
      <c r="D24" s="190"/>
      <c r="E24" s="32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205784079</v>
      </c>
      <c r="E26" s="19">
        <f>SUM(E14:E24)</f>
        <v>213619988</v>
      </c>
      <c r="K26" s="2"/>
    </row>
    <row r="27" spans="1:13" ht="10.5" thickBot="1" x14ac:dyDescent="0.25">
      <c r="A27" s="6"/>
      <c r="B27" s="6"/>
      <c r="C27" s="6"/>
      <c r="D27" s="6"/>
      <c r="E27" s="6"/>
      <c r="K27" s="2"/>
    </row>
    <row r="28" spans="1:13" ht="10.5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22" t="str">
        <f>C12&amp;" "&amp;'2.4c'!$J$1&amp;", "&amp;'2.4c'!$J$2&amp;", as of "&amp;TEXT($M$22,"m/d/yy")</f>
        <v>(2) Exhibit 2, Sheet 4c, as of 12/31/21</v>
      </c>
      <c r="K30" s="2"/>
    </row>
    <row r="31" spans="1:13" x14ac:dyDescent="0.2">
      <c r="B31" s="22" t="str">
        <f>D12&amp;" "&amp;'ldf 3.1a'!$L$1&amp;", "&amp;'ldf 3.1a'!$L$2</f>
        <v>(3) Exhibit 3, Sheet 1</v>
      </c>
      <c r="K31" s="2"/>
    </row>
    <row r="32" spans="1:13" x14ac:dyDescent="0.2">
      <c r="B32" s="22" t="str">
        <f>E12&amp;" = "&amp;C12&amp;" * "&amp;D12</f>
        <v>(4) = (2) * (3)</v>
      </c>
      <c r="K32" s="2"/>
    </row>
    <row r="33" spans="2:11" x14ac:dyDescent="0.2">
      <c r="B33" s="22"/>
      <c r="K33" s="2"/>
    </row>
    <row r="34" spans="2:11" x14ac:dyDescent="0.2">
      <c r="B34" s="22"/>
      <c r="K34" s="2"/>
    </row>
    <row r="35" spans="2:11" x14ac:dyDescent="0.2">
      <c r="B35" s="22"/>
      <c r="K35" s="2"/>
    </row>
    <row r="36" spans="2:11" x14ac:dyDescent="0.2">
      <c r="K36" s="2"/>
    </row>
    <row r="37" spans="2:11" x14ac:dyDescent="0.2">
      <c r="B37" s="25"/>
      <c r="K37" s="2"/>
    </row>
    <row r="38" spans="2:11" x14ac:dyDescent="0.2">
      <c r="B38" s="25"/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0.5" thickBot="1" x14ac:dyDescent="0.25">
      <c r="K68" s="2"/>
    </row>
    <row r="69" spans="1:11" ht="10.5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92D050"/>
  </sheetPr>
  <dimension ref="A1:M69"/>
  <sheetViews>
    <sheetView showGridLines="0" topLeftCell="A22" workbookViewId="0">
      <selection activeCell="C23" sqref="C23"/>
    </sheetView>
  </sheetViews>
  <sheetFormatPr defaultColWidth="11.33203125" defaultRowHeight="10" x14ac:dyDescent="0.2"/>
  <cols>
    <col min="1" max="1" width="5.109375" bestFit="1" customWidth="1"/>
    <col min="2" max="2" width="11.33203125" customWidth="1"/>
    <col min="3" max="5" width="15.33203125" customWidth="1"/>
    <col min="6" max="9" width="11.33203125" customWidth="1"/>
    <col min="10" max="10" width="13.44140625" customWidth="1"/>
  </cols>
  <sheetData>
    <row r="1" spans="1:12" ht="10.5" x14ac:dyDescent="0.25">
      <c r="A1" s="8" t="str">
        <f>'1'!$A$1</f>
        <v>Texas Windstorm Insurance Association</v>
      </c>
      <c r="B1" s="12"/>
      <c r="J1" s="7" t="s">
        <v>20</v>
      </c>
      <c r="K1" s="1"/>
    </row>
    <row r="2" spans="1:12" ht="10.5" x14ac:dyDescent="0.25">
      <c r="A2" s="8" t="str">
        <f>'1'!$A$2</f>
        <v>Residential Property - Wind &amp; Hail</v>
      </c>
      <c r="B2" s="12"/>
      <c r="J2" s="7" t="s">
        <v>59</v>
      </c>
      <c r="K2" s="2"/>
    </row>
    <row r="3" spans="1:12" ht="10.5" x14ac:dyDescent="0.25">
      <c r="A3" s="8" t="str">
        <f>'1'!$A$3</f>
        <v>Rate Level Review</v>
      </c>
      <c r="B3" s="12"/>
      <c r="K3" s="2"/>
    </row>
    <row r="4" spans="1:12" x14ac:dyDescent="0.2">
      <c r="A4" t="s">
        <v>52</v>
      </c>
      <c r="B4" s="12"/>
      <c r="K4" s="2"/>
    </row>
    <row r="5" spans="1:12" x14ac:dyDescent="0.2">
      <c r="A5" t="s">
        <v>332</v>
      </c>
      <c r="B5" s="12"/>
      <c r="K5" s="2"/>
    </row>
    <row r="6" spans="1:12" x14ac:dyDescent="0.2">
      <c r="K6" s="2"/>
    </row>
    <row r="7" spans="1:12" ht="10.5" thickBot="1" x14ac:dyDescent="0.25">
      <c r="A7" s="6"/>
      <c r="B7" s="6"/>
      <c r="C7" s="6"/>
      <c r="D7" s="6"/>
      <c r="E7" s="6"/>
      <c r="K7" s="2"/>
    </row>
    <row r="8" spans="1:12" ht="10.5" thickTop="1" x14ac:dyDescent="0.2">
      <c r="K8" s="2"/>
    </row>
    <row r="9" spans="1:12" x14ac:dyDescent="0.2">
      <c r="C9" s="96" t="s">
        <v>321</v>
      </c>
      <c r="E9" t="s">
        <v>35</v>
      </c>
      <c r="K9" s="2"/>
      <c r="L9" s="27"/>
    </row>
    <row r="10" spans="1:12" x14ac:dyDescent="0.2">
      <c r="A10" t="s">
        <v>53</v>
      </c>
      <c r="C10" t="s">
        <v>8</v>
      </c>
      <c r="D10" t="s">
        <v>56</v>
      </c>
      <c r="E10" t="s">
        <v>8</v>
      </c>
      <c r="K10" s="2"/>
    </row>
    <row r="11" spans="1:12" x14ac:dyDescent="0.2">
      <c r="A11" s="9" t="s">
        <v>54</v>
      </c>
      <c r="B11" s="9"/>
      <c r="C11" s="9" t="s">
        <v>55</v>
      </c>
      <c r="D11" s="9" t="s">
        <v>37</v>
      </c>
      <c r="E11" s="9" t="s">
        <v>41</v>
      </c>
      <c r="K11" s="2"/>
    </row>
    <row r="12" spans="1:12" x14ac:dyDescent="0.2">
      <c r="A12" s="7" t="str">
        <f>TEXT(COLUMN(),"(#)")</f>
        <v>(1)</v>
      </c>
      <c r="B12" s="7"/>
      <c r="C12" s="7" t="str">
        <f>TEXT(COLUMN()-1,"(#)")</f>
        <v>(2)</v>
      </c>
      <c r="D12" s="7" t="str">
        <f>TEXT(COLUMN()-1,"(#)")</f>
        <v>(3)</v>
      </c>
      <c r="E12" s="7" t="str">
        <f>TEXT(COLUMN()-1,"(#)")</f>
        <v>(4)</v>
      </c>
      <c r="K12" s="2"/>
    </row>
    <row r="13" spans="1:12" x14ac:dyDescent="0.2">
      <c r="K13" s="2"/>
    </row>
    <row r="14" spans="1:12" x14ac:dyDescent="0.2">
      <c r="A14" t="str">
        <f t="shared" ref="A14:A22" si="0">TEXT(A15-1,"#")</f>
        <v>2012</v>
      </c>
      <c r="B14" s="25"/>
      <c r="C14" s="33">
        <f>'2.4d'!C14</f>
        <v>259290</v>
      </c>
      <c r="D14" s="44">
        <v>1</v>
      </c>
      <c r="E14" s="31">
        <f>ROUND(C14*D14,0)</f>
        <v>259290</v>
      </c>
      <c r="K14" s="2"/>
    </row>
    <row r="15" spans="1:12" x14ac:dyDescent="0.2">
      <c r="A15" t="str">
        <f t="shared" si="0"/>
        <v>2013</v>
      </c>
      <c r="B15" s="25"/>
      <c r="C15" s="33">
        <f>'2.4d'!C15</f>
        <v>502759</v>
      </c>
      <c r="D15" s="36">
        <f>INDEX('ldf 3.1a'!$C$46:$K$46,11-MATCH(A15,A$14:A$23))</f>
        <v>1</v>
      </c>
      <c r="E15" s="31">
        <f t="shared" ref="E15:E22" si="1">ROUND(C15*D15,0)</f>
        <v>502759</v>
      </c>
      <c r="K15" s="2"/>
    </row>
    <row r="16" spans="1:12" x14ac:dyDescent="0.2">
      <c r="A16" t="str">
        <f t="shared" si="0"/>
        <v>2014</v>
      </c>
      <c r="B16" s="25"/>
      <c r="C16" s="33">
        <f>'2.4d'!C16</f>
        <v>30748</v>
      </c>
      <c r="D16" s="36">
        <f>INDEX('ldf 3.1a'!$C$46:$K$46,11-MATCH(A16,A$14:A$23))</f>
        <v>1</v>
      </c>
      <c r="E16" s="31">
        <f t="shared" si="1"/>
        <v>30748</v>
      </c>
      <c r="K16" s="2"/>
    </row>
    <row r="17" spans="1:13" x14ac:dyDescent="0.2">
      <c r="A17" t="str">
        <f t="shared" si="0"/>
        <v>2015</v>
      </c>
      <c r="B17" s="25"/>
      <c r="C17" s="33">
        <f>'2.4d'!C17</f>
        <v>339352</v>
      </c>
      <c r="D17" s="36">
        <f>INDEX('ldf 3.1a'!$C$46:$K$46,11-MATCH(A17,A$14:A$23))</f>
        <v>1</v>
      </c>
      <c r="E17" s="31">
        <f t="shared" si="1"/>
        <v>339352</v>
      </c>
      <c r="K17" s="2"/>
    </row>
    <row r="18" spans="1:13" x14ac:dyDescent="0.2">
      <c r="A18" t="str">
        <f t="shared" si="0"/>
        <v>2016</v>
      </c>
      <c r="B18" s="25"/>
      <c r="C18" s="33">
        <f>'2.4d'!C18</f>
        <v>446449</v>
      </c>
      <c r="D18" s="36">
        <f>INDEX('ldf 3.1a'!$C$46:$K$46,11-MATCH(A18,A$14:A$23))</f>
        <v>1.0009999999999999</v>
      </c>
      <c r="E18" s="31">
        <f t="shared" si="1"/>
        <v>446895</v>
      </c>
      <c r="K18" s="2"/>
    </row>
    <row r="19" spans="1:13" x14ac:dyDescent="0.2">
      <c r="A19" t="str">
        <f t="shared" si="0"/>
        <v>2017</v>
      </c>
      <c r="B19" s="25"/>
      <c r="C19" s="33">
        <f>'2.4d'!C19</f>
        <v>481121</v>
      </c>
      <c r="D19" s="36">
        <f>INDEX('ldf 3.1a'!$C$46:$K$46,11-MATCH(A19,A$14:A$23))</f>
        <v>1.004</v>
      </c>
      <c r="E19" s="31">
        <f t="shared" si="1"/>
        <v>483045</v>
      </c>
      <c r="K19" s="2"/>
    </row>
    <row r="20" spans="1:13" x14ac:dyDescent="0.2">
      <c r="A20" t="str">
        <f t="shared" si="0"/>
        <v>2018</v>
      </c>
      <c r="B20" s="25"/>
      <c r="C20" s="33">
        <f>'2.4d'!C20</f>
        <v>282709</v>
      </c>
      <c r="D20" s="36">
        <f>INDEX('ldf 3.1a'!$C$46:$K$46,11-MATCH(A20,A$14:A$23))</f>
        <v>1.012</v>
      </c>
      <c r="E20" s="31">
        <f t="shared" si="1"/>
        <v>286102</v>
      </c>
      <c r="K20" s="2"/>
    </row>
    <row r="21" spans="1:13" x14ac:dyDescent="0.2">
      <c r="A21" t="str">
        <f t="shared" si="0"/>
        <v>2019</v>
      </c>
      <c r="B21" s="25"/>
      <c r="C21" s="33">
        <f>'2.4d'!C21</f>
        <v>2640490</v>
      </c>
      <c r="D21" s="36">
        <f>INDEX('ldf 3.1a'!$C$46:$K$46,11-MATCH(A21,A$14:A$23))</f>
        <v>1.0289999999999999</v>
      </c>
      <c r="E21" s="31">
        <f t="shared" si="1"/>
        <v>2717064</v>
      </c>
      <c r="K21" s="2"/>
      <c r="L21" t="s">
        <v>217</v>
      </c>
      <c r="M21" t="s">
        <v>218</v>
      </c>
    </row>
    <row r="22" spans="1:13" x14ac:dyDescent="0.2">
      <c r="A22" t="str">
        <f t="shared" si="0"/>
        <v>2020</v>
      </c>
      <c r="B22" s="51"/>
      <c r="C22" s="49">
        <f>'2.4d'!C22</f>
        <v>446954</v>
      </c>
      <c r="D22" s="36">
        <f>INDEX('ldf 3.1a'!$C$46:$K$46,11-MATCH(A22,A$14:A$23))</f>
        <v>1.0820000000000001</v>
      </c>
      <c r="E22" s="120">
        <f t="shared" si="1"/>
        <v>483604</v>
      </c>
      <c r="K22" s="2"/>
      <c r="L22" s="84">
        <f>'2.4a'!L$22</f>
        <v>44469</v>
      </c>
      <c r="M22" s="84">
        <f>'2.4a'!M$22</f>
        <v>44561</v>
      </c>
    </row>
    <row r="23" spans="1:13" x14ac:dyDescent="0.2">
      <c r="A23" t="str">
        <f>TEXT(YEAR($L$22),"#")</f>
        <v>2021</v>
      </c>
      <c r="B23" s="51"/>
      <c r="C23" s="49">
        <f>'2.4d'!C23</f>
        <v>1257778</v>
      </c>
      <c r="D23" s="36">
        <f>INDEX('ldf 3.1a'!$C$46:$K$46,11-MATCH(A23,A$14:A$23))</f>
        <v>1.2669999999999999</v>
      </c>
      <c r="E23" s="120">
        <f>ROUND(C23*D23,0)</f>
        <v>1593605</v>
      </c>
      <c r="K23" s="2"/>
      <c r="L23" s="84"/>
      <c r="M23" s="84"/>
    </row>
    <row r="24" spans="1:13" x14ac:dyDescent="0.2">
      <c r="A24" s="9"/>
      <c r="B24" s="26"/>
      <c r="C24" s="34"/>
      <c r="D24" s="190"/>
      <c r="E24" s="32"/>
      <c r="K24" s="2"/>
    </row>
    <row r="25" spans="1:13" x14ac:dyDescent="0.2">
      <c r="K25" s="2"/>
    </row>
    <row r="26" spans="1:13" x14ac:dyDescent="0.2">
      <c r="A26" t="s">
        <v>9</v>
      </c>
      <c r="C26" s="19">
        <f>SUM(C14:C23)</f>
        <v>6687650</v>
      </c>
      <c r="E26" s="19">
        <f>SUM(E14:E23)</f>
        <v>7142464</v>
      </c>
      <c r="K26" s="2"/>
    </row>
    <row r="27" spans="1:13" ht="10.5" thickBot="1" x14ac:dyDescent="0.25">
      <c r="A27" s="6"/>
      <c r="B27" s="6"/>
      <c r="C27" s="6"/>
      <c r="D27" s="6"/>
      <c r="E27" s="6"/>
      <c r="K27" s="2"/>
    </row>
    <row r="28" spans="1:13" ht="10.5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22" t="str">
        <f>C12&amp;" "&amp;'2.4d'!$J$1&amp;", "&amp;'2.4d'!$J$2&amp;", as of "&amp;TEXT($M$22,"m/d/yy")</f>
        <v>(2) Exhibit 2, Sheet 4d, as of 12/31/21</v>
      </c>
      <c r="K30" s="2"/>
    </row>
    <row r="31" spans="1:13" x14ac:dyDescent="0.2">
      <c r="B31" s="22" t="str">
        <f>D12&amp;" "&amp;'ldf 3.1a'!$L$1&amp;", "&amp;'ldf 3.1a'!$L$2</f>
        <v>(3) Exhibit 3, Sheet 1</v>
      </c>
      <c r="K31" s="2"/>
    </row>
    <row r="32" spans="1:13" x14ac:dyDescent="0.2">
      <c r="B32" s="22" t="str">
        <f>E12&amp;" = "&amp;C12&amp;" * "&amp;D12</f>
        <v>(4) = (2) * (3)</v>
      </c>
      <c r="K32" s="2"/>
    </row>
    <row r="33" spans="2:11" x14ac:dyDescent="0.2">
      <c r="B33" s="22"/>
      <c r="K33" s="2"/>
    </row>
    <row r="34" spans="2:11" x14ac:dyDescent="0.2">
      <c r="B34" s="22"/>
      <c r="K34" s="2"/>
    </row>
    <row r="35" spans="2:11" x14ac:dyDescent="0.2">
      <c r="B35" s="22"/>
      <c r="G35" t="s">
        <v>330</v>
      </c>
      <c r="K35" s="2"/>
    </row>
    <row r="36" spans="2:11" x14ac:dyDescent="0.2">
      <c r="K36" s="2"/>
    </row>
    <row r="37" spans="2:11" x14ac:dyDescent="0.2">
      <c r="B37" s="25"/>
      <c r="K37" s="2"/>
    </row>
    <row r="38" spans="2:11" x14ac:dyDescent="0.2">
      <c r="B38" s="25"/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0.5" thickBot="1" x14ac:dyDescent="0.25">
      <c r="K68" s="2"/>
    </row>
    <row r="69" spans="1:11" ht="10.5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>
    <tabColor rgb="FF92D050"/>
  </sheetPr>
  <dimension ref="A1:P69"/>
  <sheetViews>
    <sheetView showGridLines="0" topLeftCell="A22" workbookViewId="0">
      <selection activeCell="C14" sqref="C14"/>
    </sheetView>
  </sheetViews>
  <sheetFormatPr defaultColWidth="11.33203125" defaultRowHeight="10" x14ac:dyDescent="0.2"/>
  <cols>
    <col min="1" max="1" width="5.109375" bestFit="1" customWidth="1"/>
    <col min="2" max="2" width="11.33203125" customWidth="1"/>
    <col min="3" max="3" width="15.33203125" style="11" customWidth="1"/>
    <col min="4" max="5" width="15.33203125" customWidth="1"/>
    <col min="6" max="9" width="11.33203125" customWidth="1"/>
    <col min="10" max="10" width="13.44140625" customWidth="1"/>
  </cols>
  <sheetData>
    <row r="1" spans="1:16" ht="10.5" x14ac:dyDescent="0.25">
      <c r="A1" s="8" t="str">
        <f>'1'!$A$1</f>
        <v>Texas Windstorm Insurance Association</v>
      </c>
      <c r="B1" s="12"/>
      <c r="J1" s="7" t="s">
        <v>20</v>
      </c>
      <c r="K1" s="1"/>
      <c r="O1" t="s">
        <v>428</v>
      </c>
      <c r="P1" t="s">
        <v>475</v>
      </c>
    </row>
    <row r="2" spans="1:16" ht="10.5" x14ac:dyDescent="0.25">
      <c r="A2" s="8" t="str">
        <f>'1'!$A$2</f>
        <v>Residential Property - Wind &amp; Hail</v>
      </c>
      <c r="B2" s="12"/>
      <c r="J2" s="7" t="s">
        <v>61</v>
      </c>
      <c r="K2" s="2"/>
    </row>
    <row r="3" spans="1:16" ht="10.5" x14ac:dyDescent="0.25">
      <c r="A3" s="8" t="str">
        <f>'1'!$A$3</f>
        <v>Rate Level Review</v>
      </c>
      <c r="B3" s="12"/>
      <c r="K3" s="2"/>
    </row>
    <row r="4" spans="1:16" x14ac:dyDescent="0.2">
      <c r="A4" t="str">
        <f>"Summary of TWIA Historical Paid Loss as of "&amp;TEXT($M$22,"m/d/yy")</f>
        <v>Summary of TWIA Historical Paid Loss as of 12/31/21</v>
      </c>
      <c r="B4" s="12"/>
      <c r="K4" s="2"/>
    </row>
    <row r="5" spans="1:16" x14ac:dyDescent="0.2">
      <c r="A5" t="s">
        <v>31</v>
      </c>
      <c r="B5" s="12"/>
      <c r="K5" s="2"/>
    </row>
    <row r="6" spans="1:16" x14ac:dyDescent="0.2">
      <c r="K6" s="2"/>
    </row>
    <row r="7" spans="1:16" ht="10.5" thickBot="1" x14ac:dyDescent="0.25">
      <c r="A7" s="6"/>
      <c r="B7" s="6"/>
      <c r="C7" s="198"/>
      <c r="D7" s="6"/>
      <c r="E7" s="6"/>
      <c r="K7" s="2"/>
    </row>
    <row r="8" spans="1:16" ht="10.5" thickTop="1" x14ac:dyDescent="0.2">
      <c r="K8" s="2"/>
    </row>
    <row r="9" spans="1:16" x14ac:dyDescent="0.2">
      <c r="C9" s="24" t="s">
        <v>60</v>
      </c>
      <c r="K9" s="2"/>
      <c r="L9" s="27"/>
    </row>
    <row r="10" spans="1:16" x14ac:dyDescent="0.2">
      <c r="A10" t="s">
        <v>53</v>
      </c>
      <c r="C10"/>
      <c r="K10" s="2"/>
    </row>
    <row r="11" spans="1:16" x14ac:dyDescent="0.2">
      <c r="A11" s="9" t="s">
        <v>54</v>
      </c>
      <c r="B11" s="9"/>
      <c r="C11" s="9" t="s">
        <v>8</v>
      </c>
      <c r="D11" s="9" t="s">
        <v>6</v>
      </c>
      <c r="E11" s="9" t="s">
        <v>9</v>
      </c>
      <c r="K11" s="2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6" x14ac:dyDescent="0.2">
      <c r="C13"/>
      <c r="K13" s="2"/>
    </row>
    <row r="14" spans="1:16" x14ac:dyDescent="0.2">
      <c r="A14" t="str">
        <f t="shared" ref="A14:A22" si="0">TEXT(A15-1,"#")</f>
        <v>2012</v>
      </c>
      <c r="B14" s="25"/>
      <c r="C14" s="334">
        <f>ROUND('[3]TICO 3'!X27,0)</f>
        <v>10634874</v>
      </c>
      <c r="D14" s="334">
        <f>ROUND('[3]TICO 3'!S27,0)</f>
        <v>0</v>
      </c>
      <c r="E14" s="31">
        <f t="shared" ref="E14:E23" si="1">C14+D14</f>
        <v>10634874</v>
      </c>
      <c r="K14" s="2"/>
    </row>
    <row r="15" spans="1:16" x14ac:dyDescent="0.2">
      <c r="A15" t="str">
        <f t="shared" si="0"/>
        <v>2013</v>
      </c>
      <c r="B15" s="25"/>
      <c r="C15" s="334">
        <f>ROUND('[3]TICO 3'!X28,0)</f>
        <v>54085975</v>
      </c>
      <c r="D15" s="334">
        <f>ROUND('[3]TICO 3'!S28,0)</f>
        <v>0</v>
      </c>
      <c r="E15" s="31">
        <f t="shared" si="1"/>
        <v>54085975</v>
      </c>
      <c r="K15" s="2"/>
    </row>
    <row r="16" spans="1:16" x14ac:dyDescent="0.2">
      <c r="A16" t="str">
        <f t="shared" si="0"/>
        <v>2014</v>
      </c>
      <c r="B16" s="25"/>
      <c r="C16" s="334">
        <f>ROUND('[3]TICO 3'!X29,0)</f>
        <v>520624</v>
      </c>
      <c r="D16" s="334">
        <f>ROUND('[3]TICO 3'!S29,0)</f>
        <v>0</v>
      </c>
      <c r="E16" s="31">
        <f t="shared" si="1"/>
        <v>520624</v>
      </c>
      <c r="K16" s="2"/>
    </row>
    <row r="17" spans="1:13" x14ac:dyDescent="0.2">
      <c r="A17" t="str">
        <f t="shared" si="0"/>
        <v>2015</v>
      </c>
      <c r="B17" s="25"/>
      <c r="C17" s="334">
        <f>ROUND('[3]TICO 3'!X30,0)</f>
        <v>17443601</v>
      </c>
      <c r="D17" s="334">
        <f>ROUND('[3]TICO 3'!S30,0)</f>
        <v>0</v>
      </c>
      <c r="E17" s="31">
        <f t="shared" si="1"/>
        <v>17443601</v>
      </c>
      <c r="K17" s="2"/>
    </row>
    <row r="18" spans="1:13" x14ac:dyDescent="0.2">
      <c r="A18" t="str">
        <f t="shared" si="0"/>
        <v>2016</v>
      </c>
      <c r="B18" s="25"/>
      <c r="C18" s="334">
        <f>ROUND('[3]TICO 3'!X31,0)</f>
        <v>10985881</v>
      </c>
      <c r="D18" s="334">
        <f>ROUND('[3]TICO 3'!S31,0)</f>
        <v>0</v>
      </c>
      <c r="E18" s="31">
        <f t="shared" si="1"/>
        <v>10985881</v>
      </c>
      <c r="K18" s="2"/>
    </row>
    <row r="19" spans="1:13" x14ac:dyDescent="0.2">
      <c r="A19" t="str">
        <f t="shared" si="0"/>
        <v>2017</v>
      </c>
      <c r="B19" s="25"/>
      <c r="C19" s="334">
        <f>ROUND('[3]TICO 3'!X32,0)</f>
        <v>2705963</v>
      </c>
      <c r="D19" s="334">
        <f>ROUND('[3]TICO 3'!S32,0)</f>
        <v>35158860</v>
      </c>
      <c r="E19" s="31">
        <f t="shared" si="1"/>
        <v>37864823</v>
      </c>
      <c r="K19" s="2"/>
    </row>
    <row r="20" spans="1:13" x14ac:dyDescent="0.2">
      <c r="A20" t="str">
        <f t="shared" si="0"/>
        <v>2018</v>
      </c>
      <c r="B20" s="25"/>
      <c r="C20" s="334">
        <f>ROUND('[3]TICO 3'!X33,0)</f>
        <v>2506795</v>
      </c>
      <c r="D20" s="334">
        <f>ROUND('[3]TICO 3'!S33,0)</f>
        <v>0</v>
      </c>
      <c r="E20" s="31">
        <f t="shared" si="1"/>
        <v>2506795</v>
      </c>
      <c r="K20" s="2"/>
    </row>
    <row r="21" spans="1:13" x14ac:dyDescent="0.2">
      <c r="A21" t="str">
        <f t="shared" si="0"/>
        <v>2019</v>
      </c>
      <c r="B21" s="25"/>
      <c r="C21" s="334">
        <f>ROUND('[3]TICO 3'!X34,0)</f>
        <v>4697299</v>
      </c>
      <c r="D21" s="334">
        <f>ROUND('[3]TICO 3'!S34,0)</f>
        <v>0</v>
      </c>
      <c r="E21" s="31">
        <f t="shared" si="1"/>
        <v>4697299</v>
      </c>
      <c r="K21" s="2"/>
      <c r="L21" t="s">
        <v>217</v>
      </c>
      <c r="M21" t="s">
        <v>218</v>
      </c>
    </row>
    <row r="22" spans="1:13" x14ac:dyDescent="0.2">
      <c r="A22" s="50" t="str">
        <f t="shared" si="0"/>
        <v>2020</v>
      </c>
      <c r="B22" s="25"/>
      <c r="C22" s="334">
        <f>ROUND('[3]TICO 3'!X35,0)</f>
        <v>5382531</v>
      </c>
      <c r="D22" s="334">
        <f>ROUND('[3]TICO 3'!S35,0)</f>
        <v>28567</v>
      </c>
      <c r="E22" s="31">
        <f t="shared" si="1"/>
        <v>5411098</v>
      </c>
      <c r="K22" s="2"/>
      <c r="L22" s="82">
        <f>'[3]TICO 3'!$E$1</f>
        <v>44469</v>
      </c>
      <c r="M22" s="82">
        <f>'[3]TICO 3'!$E$2</f>
        <v>44561</v>
      </c>
    </row>
    <row r="23" spans="1:13" x14ac:dyDescent="0.2">
      <c r="A23" s="50" t="str">
        <f>TEXT(YEAR($L$22),"#")</f>
        <v>2021</v>
      </c>
      <c r="B23" s="25"/>
      <c r="C23" s="334">
        <f>ROUND('[3]TICO 3'!X36,0)</f>
        <v>17128270</v>
      </c>
      <c r="D23" s="334">
        <f>ROUND('[3]TICO 3'!S36,0)</f>
        <v>361331</v>
      </c>
      <c r="E23" s="31">
        <f t="shared" si="1"/>
        <v>17489601</v>
      </c>
      <c r="K23" s="2"/>
      <c r="L23" s="82"/>
      <c r="M23" s="82"/>
    </row>
    <row r="24" spans="1:13" x14ac:dyDescent="0.2">
      <c r="A24" s="9"/>
      <c r="B24" s="26"/>
      <c r="C24" s="67"/>
      <c r="D24" s="67"/>
      <c r="E24" s="32"/>
      <c r="K24" s="2"/>
    </row>
    <row r="25" spans="1:13" x14ac:dyDescent="0.2">
      <c r="C25"/>
      <c r="K25" s="2"/>
    </row>
    <row r="26" spans="1:13" x14ac:dyDescent="0.2">
      <c r="A26" t="s">
        <v>9</v>
      </c>
      <c r="C26" s="19">
        <f>SUM(C14:C24)</f>
        <v>126091813</v>
      </c>
      <c r="D26" s="19">
        <f>SUM(D14:D24)</f>
        <v>35548758</v>
      </c>
      <c r="E26" s="19">
        <f>SUM(E14:E24)</f>
        <v>161640571</v>
      </c>
      <c r="K26" s="2"/>
    </row>
    <row r="27" spans="1:13" ht="10.5" thickBot="1" x14ac:dyDescent="0.25">
      <c r="A27" s="6"/>
      <c r="B27" s="6"/>
      <c r="C27" s="198"/>
      <c r="D27" s="6"/>
      <c r="E27" s="6"/>
      <c r="K27" s="2"/>
    </row>
    <row r="28" spans="1:13" ht="10.5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22" t="str">
        <f>C12&amp;","&amp;D12&amp;" Provided by TDI.  Accident years ending "&amp;TEXT($L$22,"m/d/xx")</f>
        <v>(2),(3) Provided by TDI.  Accident years ending 9/30/xx</v>
      </c>
      <c r="K30" s="2"/>
    </row>
    <row r="31" spans="1:13" x14ac:dyDescent="0.2">
      <c r="B31" s="22" t="str">
        <f>E12&amp;" = "&amp;C12&amp;" + "&amp;D12</f>
        <v>(4) = (2) + (3)</v>
      </c>
      <c r="K31" s="2"/>
    </row>
    <row r="32" spans="1:13" x14ac:dyDescent="0.2">
      <c r="B32" s="22"/>
      <c r="K32" s="2"/>
    </row>
    <row r="33" spans="1:11" x14ac:dyDescent="0.2">
      <c r="B33" s="22"/>
      <c r="K33" s="2"/>
    </row>
    <row r="34" spans="1:11" x14ac:dyDescent="0.2">
      <c r="K34" s="2"/>
    </row>
    <row r="35" spans="1:11" x14ac:dyDescent="0.2">
      <c r="A35" s="59"/>
      <c r="B35" s="22"/>
      <c r="K35" s="2"/>
    </row>
    <row r="36" spans="1:11" x14ac:dyDescent="0.2">
      <c r="B36" s="22"/>
      <c r="K36" s="2"/>
    </row>
    <row r="37" spans="1:11" x14ac:dyDescent="0.2">
      <c r="B37" s="25"/>
      <c r="K37" s="2"/>
    </row>
    <row r="38" spans="1:11" x14ac:dyDescent="0.2">
      <c r="B38" s="25"/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x14ac:dyDescent="0.2"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0.5" thickBot="1" x14ac:dyDescent="0.25">
      <c r="K68" s="2"/>
    </row>
    <row r="69" spans="1:11" ht="10.5" thickBot="1" x14ac:dyDescent="0.25">
      <c r="A69" s="4"/>
      <c r="B69" s="5"/>
      <c r="C69" s="199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>
    <tabColor rgb="FF92D050"/>
  </sheetPr>
  <dimension ref="A1:P69"/>
  <sheetViews>
    <sheetView showGridLines="0" topLeftCell="A19" workbookViewId="0">
      <selection activeCell="D19" sqref="D19"/>
    </sheetView>
  </sheetViews>
  <sheetFormatPr defaultColWidth="11.33203125" defaultRowHeight="10" x14ac:dyDescent="0.2"/>
  <cols>
    <col min="1" max="1" width="5.109375" bestFit="1" customWidth="1"/>
    <col min="2" max="2" width="11.33203125" customWidth="1"/>
    <col min="3" max="5" width="15.33203125" customWidth="1"/>
    <col min="6" max="9" width="11.33203125" customWidth="1"/>
    <col min="10" max="10" width="13.44140625" customWidth="1"/>
  </cols>
  <sheetData>
    <row r="1" spans="1:16" ht="10.5" x14ac:dyDescent="0.25">
      <c r="A1" s="8" t="str">
        <f>'1'!$A$1</f>
        <v>Texas Windstorm Insurance Association</v>
      </c>
      <c r="B1" s="12"/>
      <c r="J1" s="7" t="s">
        <v>20</v>
      </c>
      <c r="K1" s="1"/>
      <c r="O1" t="s">
        <v>428</v>
      </c>
      <c r="P1" t="s">
        <v>475</v>
      </c>
    </row>
    <row r="2" spans="1:16" ht="10.5" x14ac:dyDescent="0.25">
      <c r="A2" s="8" t="str">
        <f>'1'!$A$2</f>
        <v>Residential Property - Wind &amp; Hail</v>
      </c>
      <c r="B2" s="12"/>
      <c r="J2" s="7" t="s">
        <v>62</v>
      </c>
      <c r="K2" s="2"/>
    </row>
    <row r="3" spans="1:16" ht="10.5" x14ac:dyDescent="0.25">
      <c r="A3" s="8" t="str">
        <f>'1'!$A$3</f>
        <v>Rate Level Review</v>
      </c>
      <c r="B3" s="12"/>
      <c r="K3" s="2"/>
    </row>
    <row r="4" spans="1:16" x14ac:dyDescent="0.2">
      <c r="A4" t="str">
        <f>"Summary of TWIA Historical Paid Loss as of "&amp;TEXT($M$22,"m/d/yy")</f>
        <v>Summary of TWIA Historical Paid Loss as of 12/31/21</v>
      </c>
      <c r="B4" s="12"/>
      <c r="K4" s="2"/>
    </row>
    <row r="5" spans="1:16" x14ac:dyDescent="0.2">
      <c r="A5" t="s">
        <v>45</v>
      </c>
      <c r="B5" s="12"/>
      <c r="K5" s="2"/>
    </row>
    <row r="6" spans="1:16" x14ac:dyDescent="0.2">
      <c r="K6" s="2"/>
    </row>
    <row r="7" spans="1:16" ht="10.5" thickBot="1" x14ac:dyDescent="0.25">
      <c r="A7" s="6"/>
      <c r="B7" s="6"/>
      <c r="C7" s="6"/>
      <c r="D7" s="6"/>
      <c r="E7" s="6"/>
      <c r="K7" s="2"/>
    </row>
    <row r="8" spans="1:16" ht="10.5" thickTop="1" x14ac:dyDescent="0.2">
      <c r="K8" s="2"/>
    </row>
    <row r="9" spans="1:16" x14ac:dyDescent="0.2">
      <c r="C9" s="24" t="s">
        <v>60</v>
      </c>
      <c r="K9" s="2"/>
      <c r="L9" s="27"/>
    </row>
    <row r="10" spans="1:16" x14ac:dyDescent="0.2">
      <c r="A10" t="s">
        <v>53</v>
      </c>
      <c r="K10" s="2"/>
    </row>
    <row r="11" spans="1:16" x14ac:dyDescent="0.2">
      <c r="A11" s="9" t="s">
        <v>54</v>
      </c>
      <c r="B11" s="9"/>
      <c r="C11" s="9" t="s">
        <v>8</v>
      </c>
      <c r="D11" s="9" t="s">
        <v>6</v>
      </c>
      <c r="E11" s="9" t="s">
        <v>9</v>
      </c>
      <c r="K11" s="2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6" x14ac:dyDescent="0.2">
      <c r="C13" s="59"/>
      <c r="D13" s="59"/>
      <c r="K13" s="2"/>
    </row>
    <row r="14" spans="1:16" x14ac:dyDescent="0.2">
      <c r="A14" t="str">
        <f t="shared" ref="A14:A22" si="0">TEXT(A15-1,"#")</f>
        <v>2012</v>
      </c>
      <c r="B14" s="25"/>
      <c r="C14" s="334">
        <f>ROUND('[3]TICO 3'!Y27,0)</f>
        <v>20630853</v>
      </c>
      <c r="D14" s="334">
        <f>ROUND('[3]TICO 3'!T27,0)</f>
        <v>0</v>
      </c>
      <c r="E14" s="31">
        <f t="shared" ref="E14:E23" si="1">C14+D14</f>
        <v>20630853</v>
      </c>
      <c r="K14" s="2"/>
    </row>
    <row r="15" spans="1:16" x14ac:dyDescent="0.2">
      <c r="A15" t="str">
        <f t="shared" si="0"/>
        <v>2013</v>
      </c>
      <c r="B15" s="25"/>
      <c r="C15" s="334">
        <f>ROUND('[3]TICO 3'!Y28,0)</f>
        <v>6175709</v>
      </c>
      <c r="D15" s="334">
        <f>ROUND('[3]TICO 3'!T28,0)</f>
        <v>0</v>
      </c>
      <c r="E15" s="31">
        <f t="shared" si="1"/>
        <v>6175709</v>
      </c>
      <c r="K15" s="2"/>
    </row>
    <row r="16" spans="1:16" x14ac:dyDescent="0.2">
      <c r="A16" t="str">
        <f t="shared" si="0"/>
        <v>2014</v>
      </c>
      <c r="B16" s="25"/>
      <c r="C16" s="334">
        <f>ROUND('[3]TICO 3'!Y29,0)</f>
        <v>1618066</v>
      </c>
      <c r="D16" s="334">
        <f>ROUND('[3]TICO 3'!T29,0)</f>
        <v>0</v>
      </c>
      <c r="E16" s="31">
        <f t="shared" si="1"/>
        <v>1618066</v>
      </c>
      <c r="K16" s="2"/>
    </row>
    <row r="17" spans="1:13" x14ac:dyDescent="0.2">
      <c r="A17" t="str">
        <f t="shared" si="0"/>
        <v>2015</v>
      </c>
      <c r="B17" s="25"/>
      <c r="C17" s="334">
        <f>ROUND('[3]TICO 3'!Y30,0)</f>
        <v>9461279</v>
      </c>
      <c r="D17" s="334">
        <f>ROUND('[3]TICO 3'!T30,0)</f>
        <v>0</v>
      </c>
      <c r="E17" s="31">
        <f t="shared" si="1"/>
        <v>9461279</v>
      </c>
      <c r="K17" s="2"/>
    </row>
    <row r="18" spans="1:13" x14ac:dyDescent="0.2">
      <c r="A18" t="str">
        <f t="shared" si="0"/>
        <v>2016</v>
      </c>
      <c r="B18" s="25"/>
      <c r="C18" s="334">
        <f>ROUND('[3]TICO 3'!Y31,0)</f>
        <v>9531194</v>
      </c>
      <c r="D18" s="334">
        <f>ROUND('[3]TICO 3'!T31,0)</f>
        <v>0</v>
      </c>
      <c r="E18" s="31">
        <f t="shared" si="1"/>
        <v>9531194</v>
      </c>
      <c r="K18" s="2"/>
    </row>
    <row r="19" spans="1:13" x14ac:dyDescent="0.2">
      <c r="A19" t="str">
        <f t="shared" si="0"/>
        <v>2017</v>
      </c>
      <c r="B19" s="25"/>
      <c r="C19" s="334">
        <f>ROUND('[3]TICO 3'!Y32,0)</f>
        <v>7641292</v>
      </c>
      <c r="D19" s="334">
        <f>ROUND('[3]TICO 3'!T32,0)</f>
        <v>249537780</v>
      </c>
      <c r="E19" s="31">
        <f t="shared" si="1"/>
        <v>257179072</v>
      </c>
      <c r="K19" s="2"/>
    </row>
    <row r="20" spans="1:13" x14ac:dyDescent="0.2">
      <c r="A20" t="str">
        <f t="shared" si="0"/>
        <v>2018</v>
      </c>
      <c r="B20" s="25"/>
      <c r="C20" s="334">
        <f>ROUND('[3]TICO 3'!Y33,0)</f>
        <v>1138023</v>
      </c>
      <c r="D20" s="334">
        <f>ROUND('[3]TICO 3'!T33,0)</f>
        <v>0</v>
      </c>
      <c r="E20" s="31">
        <f t="shared" si="1"/>
        <v>1138023</v>
      </c>
      <c r="K20" s="2"/>
    </row>
    <row r="21" spans="1:13" x14ac:dyDescent="0.2">
      <c r="A21" t="str">
        <f t="shared" si="0"/>
        <v>2019</v>
      </c>
      <c r="B21" s="25"/>
      <c r="C21" s="334">
        <f>ROUND('[3]TICO 3'!Y34,0)</f>
        <v>822616</v>
      </c>
      <c r="D21" s="334">
        <f>ROUND('[3]TICO 3'!T34,0)</f>
        <v>0</v>
      </c>
      <c r="E21" s="31">
        <f t="shared" si="1"/>
        <v>822616</v>
      </c>
      <c r="K21" s="2"/>
      <c r="L21" t="s">
        <v>217</v>
      </c>
      <c r="M21" t="s">
        <v>218</v>
      </c>
    </row>
    <row r="22" spans="1:13" x14ac:dyDescent="0.2">
      <c r="A22" t="str">
        <f t="shared" si="0"/>
        <v>2020</v>
      </c>
      <c r="B22" s="51"/>
      <c r="C22" s="334">
        <f>ROUND('[3]TICO 3'!Y35,0)</f>
        <v>452157</v>
      </c>
      <c r="D22" s="334">
        <f>ROUND('[3]TICO 3'!T35,0)</f>
        <v>1627147</v>
      </c>
      <c r="E22" s="120">
        <f t="shared" si="1"/>
        <v>2079304</v>
      </c>
      <c r="K22" s="2"/>
      <c r="L22" s="84">
        <f>'2.4a'!L$22</f>
        <v>44469</v>
      </c>
      <c r="M22" s="84">
        <f>'2.4a'!M$22</f>
        <v>44561</v>
      </c>
    </row>
    <row r="23" spans="1:13" x14ac:dyDescent="0.2">
      <c r="A23" t="str">
        <f>TEXT(YEAR($L$22),"#")</f>
        <v>2021</v>
      </c>
      <c r="B23" s="51"/>
      <c r="C23" s="334">
        <f>ROUND('[3]TICO 3'!Y36,0)</f>
        <v>497091</v>
      </c>
      <c r="D23" s="334">
        <f>ROUND('[3]TICO 3'!T36,0)</f>
        <v>0</v>
      </c>
      <c r="E23" s="120">
        <f t="shared" si="1"/>
        <v>497091</v>
      </c>
      <c r="K23" s="2"/>
      <c r="L23" s="84"/>
      <c r="M23" s="84"/>
    </row>
    <row r="24" spans="1:13" x14ac:dyDescent="0.2">
      <c r="A24" s="9"/>
      <c r="B24" s="26"/>
      <c r="C24" s="67"/>
      <c r="D24" s="67"/>
      <c r="E24" s="32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57968280</v>
      </c>
      <c r="D26" s="19">
        <f>SUM(D14:D24)</f>
        <v>251164927</v>
      </c>
      <c r="E26" s="19">
        <f>SUM(E14:E24)</f>
        <v>309133207</v>
      </c>
      <c r="K26" s="2"/>
    </row>
    <row r="27" spans="1:13" ht="10.5" thickBot="1" x14ac:dyDescent="0.25">
      <c r="A27" s="6"/>
      <c r="B27" s="6"/>
      <c r="C27" s="6"/>
      <c r="D27" s="6"/>
      <c r="E27" s="6"/>
      <c r="K27" s="2"/>
    </row>
    <row r="28" spans="1:13" ht="10.5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22" t="str">
        <f>C12&amp;","&amp;D12&amp; " Provided by TDI.  Accident years ending "&amp;TEXT($L$22,"m/d/xx")</f>
        <v>(2),(3) Provided by TDI.  Accident years ending 9/30/xx</v>
      </c>
      <c r="K30" s="2"/>
    </row>
    <row r="31" spans="1:13" x14ac:dyDescent="0.2">
      <c r="B31" s="22" t="str">
        <f>E12&amp;" = "&amp;C12&amp;" + "&amp;D12</f>
        <v>(4) = (2) + (3)</v>
      </c>
      <c r="K31" s="2"/>
    </row>
    <row r="32" spans="1:13" x14ac:dyDescent="0.2">
      <c r="K32" s="2"/>
    </row>
    <row r="33" spans="2:11" x14ac:dyDescent="0.2">
      <c r="B33" s="22"/>
      <c r="K33" s="2"/>
    </row>
    <row r="34" spans="2:11" x14ac:dyDescent="0.2">
      <c r="B34" s="22"/>
      <c r="K34" s="2"/>
    </row>
    <row r="35" spans="2:11" x14ac:dyDescent="0.2">
      <c r="B35" s="22"/>
      <c r="K35" s="2"/>
    </row>
    <row r="36" spans="2:11" x14ac:dyDescent="0.2">
      <c r="K36" s="2"/>
    </row>
    <row r="37" spans="2:11" x14ac:dyDescent="0.2">
      <c r="B37" s="25"/>
      <c r="K37" s="2"/>
    </row>
    <row r="38" spans="2:11" x14ac:dyDescent="0.2">
      <c r="B38" s="25"/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0.5" thickBot="1" x14ac:dyDescent="0.25">
      <c r="K68" s="2"/>
    </row>
    <row r="69" spans="1:11" ht="10.5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tabColor rgb="FF92D050"/>
  </sheetPr>
  <dimension ref="A1:P69"/>
  <sheetViews>
    <sheetView showGridLines="0" topLeftCell="A22" workbookViewId="0">
      <selection activeCell="D22" sqref="D22"/>
    </sheetView>
  </sheetViews>
  <sheetFormatPr defaultColWidth="11.33203125" defaultRowHeight="10" x14ac:dyDescent="0.2"/>
  <cols>
    <col min="1" max="1" width="5.109375" bestFit="1" customWidth="1"/>
    <col min="2" max="2" width="11.33203125" customWidth="1"/>
    <col min="3" max="5" width="15.33203125" customWidth="1"/>
    <col min="6" max="9" width="11.33203125" customWidth="1"/>
    <col min="10" max="10" width="13.44140625" customWidth="1"/>
  </cols>
  <sheetData>
    <row r="1" spans="1:16" ht="10.5" x14ac:dyDescent="0.25">
      <c r="A1" s="8" t="str">
        <f>'1'!$A$1</f>
        <v>Texas Windstorm Insurance Association</v>
      </c>
      <c r="B1" s="12"/>
      <c r="J1" s="7" t="s">
        <v>20</v>
      </c>
      <c r="K1" s="1"/>
      <c r="O1" t="s">
        <v>428</v>
      </c>
      <c r="P1" t="s">
        <v>475</v>
      </c>
    </row>
    <row r="2" spans="1:16" ht="10.5" x14ac:dyDescent="0.25">
      <c r="A2" s="8" t="str">
        <f>'1'!$A$2</f>
        <v>Residential Property - Wind &amp; Hail</v>
      </c>
      <c r="B2" s="12"/>
      <c r="J2" s="7" t="s">
        <v>63</v>
      </c>
      <c r="K2" s="2"/>
    </row>
    <row r="3" spans="1:16" ht="10.5" x14ac:dyDescent="0.25">
      <c r="A3" s="8" t="str">
        <f>'1'!$A$3</f>
        <v>Rate Level Review</v>
      </c>
      <c r="B3" s="12"/>
      <c r="K3" s="2"/>
    </row>
    <row r="4" spans="1:16" x14ac:dyDescent="0.2">
      <c r="A4" t="str">
        <f>"Summary of TWIA Historical Paid Loss as of "&amp;TEXT($M$22,"m/d/yy")</f>
        <v>Summary of TWIA Historical Paid Loss as of 12/31/21</v>
      </c>
      <c r="B4" s="12"/>
      <c r="K4" s="2"/>
    </row>
    <row r="5" spans="1:16" x14ac:dyDescent="0.2">
      <c r="A5" t="s">
        <v>47</v>
      </c>
      <c r="B5" s="12"/>
      <c r="K5" s="2"/>
    </row>
    <row r="6" spans="1:16" x14ac:dyDescent="0.2">
      <c r="K6" s="2"/>
    </row>
    <row r="7" spans="1:16" ht="10.5" thickBot="1" x14ac:dyDescent="0.25">
      <c r="A7" s="6"/>
      <c r="B7" s="6"/>
      <c r="C7" s="6"/>
      <c r="D7" s="6"/>
      <c r="E7" s="6"/>
      <c r="K7" s="2"/>
    </row>
    <row r="8" spans="1:16" ht="10.5" thickTop="1" x14ac:dyDescent="0.2">
      <c r="K8" s="2"/>
    </row>
    <row r="9" spans="1:16" x14ac:dyDescent="0.2">
      <c r="C9" s="24" t="s">
        <v>60</v>
      </c>
      <c r="K9" s="2"/>
      <c r="L9" s="27"/>
    </row>
    <row r="10" spans="1:16" x14ac:dyDescent="0.2">
      <c r="A10" t="s">
        <v>53</v>
      </c>
      <c r="K10" s="2"/>
    </row>
    <row r="11" spans="1:16" x14ac:dyDescent="0.2">
      <c r="A11" s="9" t="s">
        <v>54</v>
      </c>
      <c r="B11" s="9"/>
      <c r="C11" s="9" t="s">
        <v>8</v>
      </c>
      <c r="D11" s="9" t="s">
        <v>6</v>
      </c>
      <c r="E11" s="9" t="s">
        <v>9</v>
      </c>
      <c r="K11" s="2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6" x14ac:dyDescent="0.2">
      <c r="K13" s="2"/>
    </row>
    <row r="14" spans="1:16" x14ac:dyDescent="0.2">
      <c r="A14" t="str">
        <f t="shared" ref="A14:A22" si="0">TEXT(A15-1,"#")</f>
        <v>2012</v>
      </c>
      <c r="B14" s="25"/>
      <c r="C14" s="334">
        <f>ROUND('[3]TICO 3'!Z27,0)</f>
        <v>18946421</v>
      </c>
      <c r="D14" s="334">
        <f>ROUND('[3]TICO 3'!U27,0)</f>
        <v>0</v>
      </c>
      <c r="E14" s="31">
        <f>C14+D14</f>
        <v>18946421</v>
      </c>
      <c r="K14" s="2"/>
    </row>
    <row r="15" spans="1:16" x14ac:dyDescent="0.2">
      <c r="A15" t="str">
        <f t="shared" si="0"/>
        <v>2013</v>
      </c>
      <c r="B15" s="25"/>
      <c r="C15" s="334">
        <f>ROUND('[3]TICO 3'!Z28,0)</f>
        <v>4829039</v>
      </c>
      <c r="D15" s="334">
        <f>ROUND('[3]TICO 3'!U28,0)</f>
        <v>0</v>
      </c>
      <c r="E15" s="31">
        <f t="shared" ref="E15:E23" si="1">C15+D15</f>
        <v>4829039</v>
      </c>
      <c r="K15" s="2"/>
    </row>
    <row r="16" spans="1:16" x14ac:dyDescent="0.2">
      <c r="A16" t="str">
        <f t="shared" si="0"/>
        <v>2014</v>
      </c>
      <c r="B16" s="25"/>
      <c r="C16" s="334">
        <f>ROUND('[3]TICO 3'!Z29,0)</f>
        <v>2847173</v>
      </c>
      <c r="D16" s="334">
        <f>ROUND('[3]TICO 3'!U29,0)</f>
        <v>0</v>
      </c>
      <c r="E16" s="31">
        <f t="shared" si="1"/>
        <v>2847173</v>
      </c>
      <c r="K16" s="2"/>
    </row>
    <row r="17" spans="1:13" x14ac:dyDescent="0.2">
      <c r="A17" t="str">
        <f t="shared" si="0"/>
        <v>2015</v>
      </c>
      <c r="B17" s="25"/>
      <c r="C17" s="334">
        <f>ROUND('[3]TICO 3'!Z30,0)</f>
        <v>86469178</v>
      </c>
      <c r="D17" s="334">
        <f>ROUND('[3]TICO 3'!U30,0)</f>
        <v>0</v>
      </c>
      <c r="E17" s="31">
        <f t="shared" si="1"/>
        <v>86469178</v>
      </c>
      <c r="K17" s="2"/>
    </row>
    <row r="18" spans="1:13" x14ac:dyDescent="0.2">
      <c r="A18" t="str">
        <f t="shared" si="0"/>
        <v>2016</v>
      </c>
      <c r="B18" s="25"/>
      <c r="C18" s="334">
        <f>ROUND('[3]TICO 3'!Z31,0)</f>
        <v>12167890</v>
      </c>
      <c r="D18" s="334">
        <f>ROUND('[3]TICO 3'!U31,0)</f>
        <v>0</v>
      </c>
      <c r="E18" s="31">
        <f t="shared" si="1"/>
        <v>12167890</v>
      </c>
      <c r="K18" s="2"/>
    </row>
    <row r="19" spans="1:13" x14ac:dyDescent="0.2">
      <c r="A19" t="str">
        <f t="shared" si="0"/>
        <v>2017</v>
      </c>
      <c r="B19" s="25"/>
      <c r="C19" s="334">
        <f>ROUND('[3]TICO 3'!Z32,0)</f>
        <v>21818214</v>
      </c>
      <c r="D19" s="334">
        <f>ROUND('[3]TICO 3'!U32,0)</f>
        <v>626453113</v>
      </c>
      <c r="E19" s="31">
        <f t="shared" si="1"/>
        <v>648271327</v>
      </c>
      <c r="K19" s="2"/>
    </row>
    <row r="20" spans="1:13" x14ac:dyDescent="0.2">
      <c r="A20" t="str">
        <f t="shared" si="0"/>
        <v>2018</v>
      </c>
      <c r="B20" s="25"/>
      <c r="C20" s="334">
        <f>ROUND('[3]TICO 3'!Z33,0)</f>
        <v>6753481</v>
      </c>
      <c r="D20" s="334">
        <f>ROUND('[3]TICO 3'!U33,0)</f>
        <v>0</v>
      </c>
      <c r="E20" s="31">
        <f t="shared" si="1"/>
        <v>6753481</v>
      </c>
      <c r="K20" s="2"/>
    </row>
    <row r="21" spans="1:13" x14ac:dyDescent="0.2">
      <c r="A21" t="str">
        <f t="shared" si="0"/>
        <v>2019</v>
      </c>
      <c r="B21" s="25"/>
      <c r="C21" s="334">
        <f>ROUND('[3]TICO 3'!Z34,0)</f>
        <v>9989620</v>
      </c>
      <c r="D21" s="334">
        <f>ROUND('[3]TICO 3'!U34,0)</f>
        <v>0</v>
      </c>
      <c r="E21" s="31">
        <f t="shared" si="1"/>
        <v>9989620</v>
      </c>
      <c r="K21" s="2"/>
      <c r="L21" t="s">
        <v>217</v>
      </c>
      <c r="M21" t="s">
        <v>218</v>
      </c>
    </row>
    <row r="22" spans="1:13" x14ac:dyDescent="0.2">
      <c r="A22" t="str">
        <f t="shared" si="0"/>
        <v>2020</v>
      </c>
      <c r="B22" s="51"/>
      <c r="C22" s="334">
        <f>ROUND('[3]TICO 3'!Z35,0)</f>
        <v>20748163</v>
      </c>
      <c r="D22" s="334">
        <f>ROUND('[3]TICO 3'!U35,0)</f>
        <v>6548044</v>
      </c>
      <c r="E22" s="120">
        <f t="shared" si="1"/>
        <v>27296207</v>
      </c>
      <c r="K22" s="2"/>
      <c r="L22" s="84">
        <f>'2.4a'!L$22</f>
        <v>44469</v>
      </c>
      <c r="M22" s="84">
        <f>'2.4a'!M$22</f>
        <v>44561</v>
      </c>
    </row>
    <row r="23" spans="1:13" x14ac:dyDescent="0.2">
      <c r="A23" t="str">
        <f>TEXT(YEAR($L$22),"#")</f>
        <v>2021</v>
      </c>
      <c r="B23" s="51"/>
      <c r="C23" s="334">
        <f>ROUND('[3]TICO 3'!Z36,0)</f>
        <v>21214900</v>
      </c>
      <c r="D23" s="334">
        <f>ROUND('[3]TICO 3'!U36,0)</f>
        <v>15952667</v>
      </c>
      <c r="E23" s="120">
        <f t="shared" si="1"/>
        <v>37167567</v>
      </c>
      <c r="K23" s="2"/>
      <c r="L23" s="84"/>
      <c r="M23" s="84"/>
    </row>
    <row r="24" spans="1:13" x14ac:dyDescent="0.2">
      <c r="A24" s="26"/>
      <c r="B24" s="26"/>
      <c r="C24" s="67"/>
      <c r="D24" s="67"/>
      <c r="E24" s="32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205784079</v>
      </c>
      <c r="D26" s="19">
        <f>SUM(D14:D24)</f>
        <v>648953824</v>
      </c>
      <c r="E26" s="19">
        <f>SUM(E14:E24)</f>
        <v>854737903</v>
      </c>
      <c r="K26" s="2"/>
    </row>
    <row r="27" spans="1:13" ht="10.5" thickBot="1" x14ac:dyDescent="0.25">
      <c r="A27" s="6"/>
      <c r="B27" s="6"/>
      <c r="C27" s="6"/>
      <c r="D27" s="6"/>
      <c r="E27" s="6"/>
      <c r="K27" s="2"/>
    </row>
    <row r="28" spans="1:13" ht="10.5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22" t="str">
        <f>C12&amp;" "&amp;D12&amp;" Provided by TDI.  Accident years ending "&amp;TEXT($L$22,"m/d/xx")</f>
        <v>(2) (3) Provided by TDI.  Accident years ending 9/30/xx</v>
      </c>
      <c r="K30" s="2"/>
    </row>
    <row r="31" spans="1:13" x14ac:dyDescent="0.2">
      <c r="B31" s="22" t="str">
        <f>E12&amp;" = "&amp;C12&amp;" + "&amp;D12</f>
        <v>(4) = (2) + (3)</v>
      </c>
      <c r="K31" s="2"/>
    </row>
    <row r="32" spans="1:13" x14ac:dyDescent="0.2">
      <c r="K32" s="2"/>
    </row>
    <row r="33" spans="1:11" x14ac:dyDescent="0.2">
      <c r="B33" s="22"/>
      <c r="K33" s="2"/>
    </row>
    <row r="34" spans="1:11" x14ac:dyDescent="0.2">
      <c r="A34" s="59"/>
      <c r="B34" s="22"/>
      <c r="K34" s="2"/>
    </row>
    <row r="35" spans="1:11" x14ac:dyDescent="0.2">
      <c r="B35" s="22"/>
      <c r="K35" s="2"/>
    </row>
    <row r="36" spans="1:11" x14ac:dyDescent="0.2">
      <c r="K36" s="2"/>
    </row>
    <row r="37" spans="1:11" x14ac:dyDescent="0.2">
      <c r="B37" s="25"/>
      <c r="K37" s="2"/>
    </row>
    <row r="38" spans="1:11" x14ac:dyDescent="0.2">
      <c r="B38" s="25"/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x14ac:dyDescent="0.2"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0.5" thickBot="1" x14ac:dyDescent="0.25">
      <c r="K68" s="2"/>
    </row>
    <row r="69" spans="1:11" ht="10.5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>
    <tabColor rgb="FF92D050"/>
  </sheetPr>
  <dimension ref="A1:R69"/>
  <sheetViews>
    <sheetView showGridLines="0" topLeftCell="A22" workbookViewId="0">
      <selection activeCell="E33" sqref="E33"/>
    </sheetView>
  </sheetViews>
  <sheetFormatPr defaultColWidth="11.33203125" defaultRowHeight="10" x14ac:dyDescent="0.2"/>
  <cols>
    <col min="1" max="1" width="5.109375" bestFit="1" customWidth="1"/>
    <col min="2" max="2" width="11.33203125" customWidth="1"/>
    <col min="3" max="5" width="15.33203125" customWidth="1"/>
    <col min="6" max="9" width="11.33203125" customWidth="1"/>
    <col min="10" max="10" width="13.44140625" customWidth="1"/>
  </cols>
  <sheetData>
    <row r="1" spans="1:18" ht="10.5" x14ac:dyDescent="0.25">
      <c r="A1" s="8" t="str">
        <f>'1'!$A$1</f>
        <v>Texas Windstorm Insurance Association</v>
      </c>
      <c r="B1" s="12"/>
      <c r="J1" s="7" t="s">
        <v>20</v>
      </c>
      <c r="K1" s="1"/>
      <c r="M1" s="315" t="s">
        <v>426</v>
      </c>
      <c r="O1" t="s">
        <v>428</v>
      </c>
      <c r="P1" t="s">
        <v>475</v>
      </c>
    </row>
    <row r="2" spans="1:18" ht="10.5" x14ac:dyDescent="0.25">
      <c r="A2" s="8" t="str">
        <f>'1'!$A$2</f>
        <v>Residential Property - Wind &amp; Hail</v>
      </c>
      <c r="B2" s="12"/>
      <c r="J2" s="7" t="s">
        <v>64</v>
      </c>
      <c r="K2" s="2"/>
    </row>
    <row r="3" spans="1:18" ht="10.5" x14ac:dyDescent="0.25">
      <c r="A3" s="8" t="str">
        <f>'1'!$A$3</f>
        <v>Rate Level Review</v>
      </c>
      <c r="B3" s="12"/>
      <c r="K3" s="2"/>
    </row>
    <row r="4" spans="1:18" x14ac:dyDescent="0.2">
      <c r="A4" t="str">
        <f>"Summary of TWIA Historical Paid Loss as of "&amp;TEXT($M$22,"m/d/yy")</f>
        <v>Summary of TWIA Historical Paid Loss as of 12/31/21</v>
      </c>
      <c r="B4" s="12"/>
      <c r="K4" s="2"/>
    </row>
    <row r="5" spans="1:18" x14ac:dyDescent="0.2">
      <c r="A5" t="s">
        <v>332</v>
      </c>
      <c r="B5" s="12"/>
      <c r="K5" s="2"/>
    </row>
    <row r="6" spans="1:18" x14ac:dyDescent="0.2">
      <c r="K6" s="2"/>
    </row>
    <row r="7" spans="1:18" ht="10.5" thickBot="1" x14ac:dyDescent="0.25">
      <c r="A7" s="6"/>
      <c r="B7" s="6"/>
      <c r="C7" s="6"/>
      <c r="D7" s="6"/>
      <c r="E7" s="6"/>
      <c r="K7" s="2"/>
    </row>
    <row r="8" spans="1:18" ht="10.5" thickTop="1" x14ac:dyDescent="0.2">
      <c r="K8" s="2"/>
      <c r="Q8" s="19"/>
      <c r="R8" s="19"/>
    </row>
    <row r="9" spans="1:18" x14ac:dyDescent="0.2">
      <c r="C9" s="24" t="s">
        <v>60</v>
      </c>
      <c r="K9" s="2"/>
      <c r="L9" s="27"/>
      <c r="Q9" s="19"/>
      <c r="R9" s="19"/>
    </row>
    <row r="10" spans="1:18" x14ac:dyDescent="0.2">
      <c r="A10" t="s">
        <v>53</v>
      </c>
      <c r="K10" s="2"/>
      <c r="Q10" s="19"/>
      <c r="R10" s="19"/>
    </row>
    <row r="11" spans="1:18" x14ac:dyDescent="0.2">
      <c r="A11" s="9" t="s">
        <v>54</v>
      </c>
      <c r="B11" s="9"/>
      <c r="C11" s="9" t="s">
        <v>8</v>
      </c>
      <c r="D11" s="9" t="s">
        <v>6</v>
      </c>
      <c r="E11" s="9" t="s">
        <v>9</v>
      </c>
      <c r="K11" s="2"/>
      <c r="Q11" s="19"/>
      <c r="R11" s="19"/>
    </row>
    <row r="12" spans="1:18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8" x14ac:dyDescent="0.2">
      <c r="K13" s="2"/>
    </row>
    <row r="14" spans="1:18" x14ac:dyDescent="0.2">
      <c r="A14" t="str">
        <f t="shared" ref="A14:A22" si="0">TEXT(A15-1,"#")</f>
        <v>2012</v>
      </c>
      <c r="B14" s="25"/>
      <c r="C14" s="334">
        <f>ROUND('[3]TICO 3'!AA27,0)</f>
        <v>259290</v>
      </c>
      <c r="D14" s="334">
        <f>ROUND('[3]TICO 3'!V27,0)</f>
        <v>0</v>
      </c>
      <c r="E14" s="31">
        <f>C14+D14</f>
        <v>259290</v>
      </c>
      <c r="F14" s="19"/>
      <c r="K14" s="2"/>
    </row>
    <row r="15" spans="1:18" x14ac:dyDescent="0.2">
      <c r="A15" t="str">
        <f t="shared" si="0"/>
        <v>2013</v>
      </c>
      <c r="B15" s="25"/>
      <c r="C15" s="334">
        <f>ROUND('[3]TICO 3'!AA28,0)</f>
        <v>502759</v>
      </c>
      <c r="D15" s="334">
        <f>ROUND('[3]TICO 3'!V28,0)</f>
        <v>0</v>
      </c>
      <c r="E15" s="31">
        <f t="shared" ref="E15:E22" si="1">C15+D15</f>
        <v>502759</v>
      </c>
      <c r="F15" s="19"/>
      <c r="K15" s="2"/>
    </row>
    <row r="16" spans="1:18" x14ac:dyDescent="0.2">
      <c r="A16" t="str">
        <f t="shared" si="0"/>
        <v>2014</v>
      </c>
      <c r="B16" s="25"/>
      <c r="C16" s="334">
        <f>ROUND('[3]TICO 3'!AA29,0)</f>
        <v>30748</v>
      </c>
      <c r="D16" s="334">
        <f>ROUND('[3]TICO 3'!V29,0)</f>
        <v>0</v>
      </c>
      <c r="E16" s="31">
        <f t="shared" si="1"/>
        <v>30748</v>
      </c>
      <c r="F16" s="19"/>
      <c r="K16" s="2"/>
    </row>
    <row r="17" spans="1:13" x14ac:dyDescent="0.2">
      <c r="A17" t="str">
        <f t="shared" si="0"/>
        <v>2015</v>
      </c>
      <c r="B17" s="25"/>
      <c r="C17" s="334">
        <f>ROUND('[3]TICO 3'!AA30,0)</f>
        <v>339352</v>
      </c>
      <c r="D17" s="334">
        <f>ROUND('[3]TICO 3'!V30,0)</f>
        <v>0</v>
      </c>
      <c r="E17" s="31">
        <f t="shared" si="1"/>
        <v>339352</v>
      </c>
      <c r="F17" s="19"/>
      <c r="K17" s="2"/>
    </row>
    <row r="18" spans="1:13" x14ac:dyDescent="0.2">
      <c r="A18" t="str">
        <f t="shared" si="0"/>
        <v>2016</v>
      </c>
      <c r="B18" s="25"/>
      <c r="C18" s="334">
        <f>ROUND('[3]TICO 3'!AA31,0)</f>
        <v>446449</v>
      </c>
      <c r="D18" s="334">
        <f>ROUND('[3]TICO 3'!V31,0)</f>
        <v>0</v>
      </c>
      <c r="E18" s="31">
        <f t="shared" si="1"/>
        <v>446449</v>
      </c>
      <c r="F18" s="19"/>
      <c r="K18" s="2"/>
    </row>
    <row r="19" spans="1:13" x14ac:dyDescent="0.2">
      <c r="A19" t="str">
        <f t="shared" si="0"/>
        <v>2017</v>
      </c>
      <c r="B19" s="25"/>
      <c r="C19" s="334">
        <f>ROUND('[3]TICO 3'!AA32,0)</f>
        <v>481121</v>
      </c>
      <c r="D19" s="334">
        <f>ROUND('[3]TICO 3'!V32,0)</f>
        <v>3457072</v>
      </c>
      <c r="E19" s="31">
        <f t="shared" si="1"/>
        <v>3938193</v>
      </c>
      <c r="F19" s="19"/>
      <c r="K19" s="2"/>
    </row>
    <row r="20" spans="1:13" x14ac:dyDescent="0.2">
      <c r="A20" t="str">
        <f t="shared" si="0"/>
        <v>2018</v>
      </c>
      <c r="B20" s="25"/>
      <c r="C20" s="334">
        <f>ROUND('[3]TICO 3'!AA33,0)</f>
        <v>282709</v>
      </c>
      <c r="D20" s="334">
        <f>ROUND('[3]TICO 3'!V33,0)</f>
        <v>0</v>
      </c>
      <c r="E20" s="31">
        <f t="shared" si="1"/>
        <v>282709</v>
      </c>
      <c r="F20" s="19"/>
      <c r="K20" s="2"/>
    </row>
    <row r="21" spans="1:13" x14ac:dyDescent="0.2">
      <c r="A21" t="str">
        <f t="shared" si="0"/>
        <v>2019</v>
      </c>
      <c r="B21" s="25"/>
      <c r="C21" s="334">
        <f>ROUND('[3]TICO 3'!AA34,0)</f>
        <v>2640490</v>
      </c>
      <c r="D21" s="334">
        <f>ROUND('[3]TICO 3'!V34,0)</f>
        <v>0</v>
      </c>
      <c r="E21" s="31">
        <f t="shared" si="1"/>
        <v>2640490</v>
      </c>
      <c r="F21" s="19"/>
      <c r="K21" s="2"/>
      <c r="L21" t="s">
        <v>217</v>
      </c>
      <c r="M21" t="s">
        <v>218</v>
      </c>
    </row>
    <row r="22" spans="1:13" x14ac:dyDescent="0.2">
      <c r="A22" t="str">
        <f t="shared" si="0"/>
        <v>2020</v>
      </c>
      <c r="B22" s="25"/>
      <c r="C22" s="334">
        <f>ROUND('[3]TICO 3'!AA35,0)</f>
        <v>446954</v>
      </c>
      <c r="D22" s="334">
        <f>ROUND('[3]TICO 3'!V35,0)</f>
        <v>6672</v>
      </c>
      <c r="E22" s="31">
        <f t="shared" si="1"/>
        <v>453626</v>
      </c>
      <c r="F22" s="19"/>
      <c r="K22" s="2"/>
      <c r="L22" s="84">
        <f>'2.4a'!L$22</f>
        <v>44469</v>
      </c>
      <c r="M22" s="84">
        <f>'2.4a'!M$22</f>
        <v>44561</v>
      </c>
    </row>
    <row r="23" spans="1:13" x14ac:dyDescent="0.2">
      <c r="A23" t="str">
        <f>TEXT(YEAR($L$22),"#")</f>
        <v>2021</v>
      </c>
      <c r="B23" s="25"/>
      <c r="C23" s="334">
        <f>ROUND('[3]TICO 3'!AA36,0)</f>
        <v>1257778</v>
      </c>
      <c r="D23" s="334">
        <f>ROUND('[3]TICO 3'!V36,0)</f>
        <v>15380</v>
      </c>
      <c r="E23" s="31">
        <f>C23+D23</f>
        <v>1273158</v>
      </c>
      <c r="F23" s="19"/>
      <c r="K23" s="2"/>
      <c r="L23" s="84"/>
      <c r="M23" s="84"/>
    </row>
    <row r="24" spans="1:13" x14ac:dyDescent="0.2">
      <c r="A24" s="26"/>
      <c r="B24" s="26"/>
      <c r="C24" s="67"/>
      <c r="D24" s="67"/>
      <c r="E24" s="32"/>
      <c r="F24" s="19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6687650</v>
      </c>
      <c r="D26" s="19">
        <f>SUM(D14:D24)</f>
        <v>3479124</v>
      </c>
      <c r="E26" s="19">
        <f>SUM(E14:E24)</f>
        <v>10166774</v>
      </c>
      <c r="K26" s="2"/>
    </row>
    <row r="27" spans="1:13" ht="10.5" thickBot="1" x14ac:dyDescent="0.25">
      <c r="A27" s="6"/>
      <c r="B27" s="6"/>
      <c r="C27" s="6"/>
      <c r="D27" s="6"/>
      <c r="E27" s="6"/>
      <c r="K27" s="2"/>
    </row>
    <row r="28" spans="1:13" ht="10.5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22" t="str">
        <f>C12&amp;" "&amp;D12&amp;" Provided by TDI.  Accident years ending "&amp;TEXT($L$22,"m/d/xx")</f>
        <v>(2) (3) Provided by TDI.  Accident years ending 9/30/xx</v>
      </c>
      <c r="K30" s="2"/>
    </row>
    <row r="31" spans="1:13" x14ac:dyDescent="0.2">
      <c r="B31" s="22" t="str">
        <f>E12&amp;" = "&amp;C12&amp;" + "&amp;D12</f>
        <v>(4) = (2) + (3)</v>
      </c>
      <c r="K31" s="2"/>
    </row>
    <row r="32" spans="1:13" x14ac:dyDescent="0.2">
      <c r="K32" s="2"/>
    </row>
    <row r="33" spans="1:11" x14ac:dyDescent="0.2">
      <c r="A33" s="59"/>
      <c r="B33" s="22"/>
      <c r="K33" s="2"/>
    </row>
    <row r="34" spans="1:11" x14ac:dyDescent="0.2">
      <c r="B34" s="22"/>
      <c r="K34" s="2"/>
    </row>
    <row r="35" spans="1:11" x14ac:dyDescent="0.2">
      <c r="B35" s="22"/>
      <c r="K35" s="2"/>
    </row>
    <row r="36" spans="1:11" x14ac:dyDescent="0.2">
      <c r="K36" s="2"/>
    </row>
    <row r="37" spans="1:11" x14ac:dyDescent="0.2">
      <c r="B37" s="25"/>
      <c r="K37" s="2"/>
    </row>
    <row r="38" spans="1:11" x14ac:dyDescent="0.2">
      <c r="B38" s="25"/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x14ac:dyDescent="0.2"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0.5" thickBot="1" x14ac:dyDescent="0.25">
      <c r="K68" s="2"/>
    </row>
    <row r="69" spans="1:11" ht="10.5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R64"/>
  <sheetViews>
    <sheetView showGridLines="0" topLeftCell="A40" workbookViewId="0">
      <selection activeCell="I23" sqref="I23"/>
    </sheetView>
  </sheetViews>
  <sheetFormatPr defaultColWidth="11.33203125" defaultRowHeight="10" x14ac:dyDescent="0.2"/>
  <cols>
    <col min="1" max="1" width="8.44140625" style="128" bestFit="1" customWidth="1"/>
    <col min="2" max="2" width="10.6640625" style="128" customWidth="1"/>
    <col min="3" max="4" width="11.33203125" style="128" customWidth="1"/>
    <col min="5" max="5" width="12.109375" style="128" customWidth="1"/>
    <col min="6" max="10" width="11.33203125" style="128" customWidth="1"/>
    <col min="11" max="11" width="11.33203125" style="128" hidden="1" customWidth="1"/>
    <col min="12" max="12" width="2.44140625" style="128" customWidth="1"/>
    <col min="13" max="16384" width="11.33203125" style="128"/>
  </cols>
  <sheetData>
    <row r="1" spans="1:18" ht="10.5" x14ac:dyDescent="0.25">
      <c r="A1" s="8" t="str">
        <f>'1'!$A$1</f>
        <v>Texas Windstorm Insurance Association</v>
      </c>
      <c r="B1" s="124"/>
      <c r="C1" s="125"/>
      <c r="D1" s="125"/>
      <c r="E1" s="125"/>
      <c r="F1" s="125"/>
      <c r="G1" s="125"/>
      <c r="H1" s="125"/>
      <c r="I1" s="125"/>
      <c r="J1" s="125"/>
      <c r="K1" s="125"/>
      <c r="L1" s="7" t="s">
        <v>20</v>
      </c>
      <c r="M1" s="127"/>
      <c r="Q1" s="128" t="s">
        <v>428</v>
      </c>
      <c r="R1" s="128" t="s">
        <v>430</v>
      </c>
    </row>
    <row r="2" spans="1:18" ht="10.5" x14ac:dyDescent="0.25">
      <c r="A2" s="8" t="str">
        <f>'1'!$A$2</f>
        <v>Residential Property - Wind &amp; Hail</v>
      </c>
      <c r="B2" s="124"/>
      <c r="C2" s="125"/>
      <c r="D2" s="125"/>
      <c r="E2" s="125"/>
      <c r="F2" s="125"/>
      <c r="G2" s="125"/>
      <c r="H2" s="125"/>
      <c r="I2" s="125"/>
      <c r="J2" s="125"/>
      <c r="K2" s="125"/>
      <c r="L2" s="7" t="s">
        <v>94</v>
      </c>
      <c r="M2" s="129"/>
      <c r="Q2" s="128" t="s">
        <v>428</v>
      </c>
      <c r="R2" s="128" t="s">
        <v>453</v>
      </c>
    </row>
    <row r="3" spans="1:18" ht="10.5" x14ac:dyDescent="0.25">
      <c r="A3" s="8" t="str">
        <f>'1'!$A$3</f>
        <v>Rate Level Review</v>
      </c>
      <c r="B3" s="124"/>
      <c r="C3" s="125"/>
      <c r="D3" s="125"/>
      <c r="E3" s="125"/>
      <c r="F3" s="125"/>
      <c r="G3" s="125"/>
      <c r="H3" s="125"/>
      <c r="I3" s="125"/>
      <c r="J3" s="125"/>
      <c r="K3" s="125"/>
      <c r="L3" s="126"/>
      <c r="M3" s="129"/>
      <c r="Q3" s="128" t="s">
        <v>428</v>
      </c>
      <c r="R3" s="128" t="s">
        <v>454</v>
      </c>
    </row>
    <row r="4" spans="1:18" x14ac:dyDescent="0.2">
      <c r="A4" s="125" t="s">
        <v>267</v>
      </c>
      <c r="B4" s="124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9"/>
      <c r="Q4" s="128" t="s">
        <v>428</v>
      </c>
      <c r="R4" s="128" t="s">
        <v>455</v>
      </c>
    </row>
    <row r="5" spans="1:18" x14ac:dyDescent="0.2">
      <c r="A5" s="130"/>
      <c r="B5" s="131"/>
      <c r="C5" s="130"/>
      <c r="D5" s="130"/>
      <c r="E5" s="130"/>
      <c r="F5" s="125"/>
      <c r="G5" s="125"/>
      <c r="H5" s="125"/>
      <c r="I5" s="125"/>
      <c r="J5" s="125"/>
      <c r="K5" s="125"/>
      <c r="L5" s="125"/>
      <c r="M5" s="129"/>
    </row>
    <row r="6" spans="1:18" x14ac:dyDescent="0.2">
      <c r="A6" s="125"/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9"/>
    </row>
    <row r="7" spans="1:18" ht="10.5" thickBot="1" x14ac:dyDescent="0.25">
      <c r="A7" s="132"/>
      <c r="B7" s="132"/>
      <c r="C7" s="132"/>
      <c r="D7" s="132"/>
      <c r="E7" s="132"/>
      <c r="F7" s="132"/>
      <c r="G7" s="132"/>
      <c r="H7" s="132"/>
      <c r="I7" s="132"/>
      <c r="J7" s="125"/>
      <c r="K7" s="125"/>
      <c r="L7" s="125"/>
      <c r="M7" s="129"/>
      <c r="N7" t="s">
        <v>215</v>
      </c>
    </row>
    <row r="8" spans="1:18" ht="10.5" thickTop="1" x14ac:dyDescent="0.2">
      <c r="A8" s="125"/>
      <c r="B8" s="125"/>
      <c r="C8" s="125" t="s">
        <v>71</v>
      </c>
      <c r="D8" s="125"/>
      <c r="E8" s="125"/>
      <c r="F8" s="125"/>
      <c r="G8" s="125"/>
      <c r="H8" s="125"/>
      <c r="I8" s="125"/>
      <c r="J8" s="125"/>
      <c r="K8" s="125"/>
      <c r="L8" s="125"/>
      <c r="M8" s="129"/>
      <c r="N8" s="89">
        <v>44561</v>
      </c>
    </row>
    <row r="9" spans="1:18" x14ac:dyDescent="0.2">
      <c r="A9" s="125"/>
      <c r="B9" s="125"/>
      <c r="C9" s="134" t="s">
        <v>328</v>
      </c>
      <c r="D9" s="125"/>
      <c r="E9" s="125"/>
      <c r="F9" s="125"/>
      <c r="G9" s="125"/>
      <c r="H9" s="125"/>
      <c r="I9" s="125"/>
      <c r="J9" s="125"/>
      <c r="K9" s="125"/>
      <c r="L9" s="125"/>
      <c r="M9" s="129"/>
      <c r="N9"/>
    </row>
    <row r="10" spans="1:18" x14ac:dyDescent="0.2">
      <c r="A10" s="125" t="s">
        <v>232</v>
      </c>
      <c r="B10" s="125"/>
      <c r="C10" s="128" t="s">
        <v>342</v>
      </c>
      <c r="D10" s="125"/>
      <c r="E10" s="125"/>
      <c r="F10" s="125"/>
      <c r="G10" s="125"/>
      <c r="H10" s="125"/>
      <c r="I10" s="125"/>
      <c r="J10" s="125"/>
      <c r="K10" s="125"/>
      <c r="L10" s="125"/>
      <c r="M10" s="129"/>
      <c r="N10"/>
    </row>
    <row r="11" spans="1:18" x14ac:dyDescent="0.2">
      <c r="A11" s="133" t="s">
        <v>234</v>
      </c>
      <c r="B11" s="133"/>
      <c r="C11" s="263" t="s">
        <v>329</v>
      </c>
      <c r="D11" s="134"/>
      <c r="E11" s="134"/>
      <c r="F11" s="134"/>
      <c r="G11" s="134"/>
      <c r="H11" s="125"/>
      <c r="I11" s="125"/>
      <c r="J11" s="125"/>
      <c r="K11" s="125"/>
      <c r="L11" s="125"/>
      <c r="M11" s="129"/>
      <c r="N11"/>
    </row>
    <row r="12" spans="1:18" ht="10.5" thickBot="1" x14ac:dyDescent="0.25">
      <c r="A12" s="135" t="s">
        <v>189</v>
      </c>
      <c r="B12" s="136"/>
      <c r="C12" s="137" t="s">
        <v>190</v>
      </c>
      <c r="J12" s="125"/>
      <c r="K12" s="125"/>
      <c r="L12" s="125"/>
      <c r="M12" s="129"/>
    </row>
    <row r="13" spans="1:18" x14ac:dyDescent="0.2">
      <c r="A13" s="125"/>
      <c r="B13" s="125"/>
      <c r="C13" s="218"/>
      <c r="D13" s="139" t="s">
        <v>191</v>
      </c>
      <c r="E13" s="125" t="s">
        <v>268</v>
      </c>
      <c r="F13" s="125"/>
      <c r="G13" s="125"/>
      <c r="H13" s="125"/>
      <c r="I13" s="300">
        <v>44378</v>
      </c>
      <c r="J13" s="125"/>
      <c r="K13" s="125"/>
      <c r="L13" s="125"/>
      <c r="M13" s="129"/>
      <c r="N13" s="273" t="s">
        <v>335</v>
      </c>
      <c r="O13" s="274"/>
      <c r="P13" s="274"/>
      <c r="Q13" s="275"/>
    </row>
    <row r="14" spans="1:18" x14ac:dyDescent="0.2">
      <c r="A14" s="134" t="str">
        <f t="shared" ref="A14:A22" si="0">R14&amp;" / 3"</f>
        <v>2013 / 3</v>
      </c>
      <c r="B14" s="125"/>
      <c r="C14" s="265">
        <f>'3.2 premium trend'!G19</f>
        <v>1712.7885909451479</v>
      </c>
      <c r="D14" s="139" t="s">
        <v>141</v>
      </c>
      <c r="E14" s="125" t="s">
        <v>269</v>
      </c>
      <c r="I14" s="301">
        <v>44378</v>
      </c>
      <c r="J14" s="125"/>
      <c r="K14" s="125"/>
      <c r="L14" s="125"/>
      <c r="M14" s="129"/>
      <c r="N14" s="276"/>
      <c r="O14" s="277"/>
      <c r="P14" s="277"/>
      <c r="Q14" s="278"/>
      <c r="R14" s="128">
        <f t="shared" ref="R14:R21" si="1">R15-1</f>
        <v>2013</v>
      </c>
    </row>
    <row r="15" spans="1:18" x14ac:dyDescent="0.2">
      <c r="A15" s="134" t="str">
        <f t="shared" si="0"/>
        <v>2014 / 3</v>
      </c>
      <c r="B15" s="138"/>
      <c r="C15" s="266">
        <f>ROUND('3.2 premium trend'!$G$23,2)</f>
        <v>1732.45</v>
      </c>
      <c r="D15" s="139" t="s">
        <v>120</v>
      </c>
      <c r="E15" s="125" t="s">
        <v>270</v>
      </c>
      <c r="F15" s="125"/>
      <c r="G15" s="125"/>
      <c r="H15" s="125"/>
      <c r="I15" s="300">
        <v>45292</v>
      </c>
      <c r="J15" s="125"/>
      <c r="K15" s="125"/>
      <c r="L15" s="125"/>
      <c r="M15" s="129"/>
      <c r="N15" s="276"/>
      <c r="O15" s="277"/>
      <c r="P15" s="277"/>
      <c r="Q15" s="278"/>
      <c r="R15" s="128">
        <f t="shared" si="1"/>
        <v>2014</v>
      </c>
    </row>
    <row r="16" spans="1:18" x14ac:dyDescent="0.2">
      <c r="A16" s="134" t="str">
        <f t="shared" si="0"/>
        <v>2015 / 3</v>
      </c>
      <c r="B16" s="138"/>
      <c r="C16" s="266">
        <f>ROUND('3.2 premium trend'!$G$27,2)</f>
        <v>1747.67</v>
      </c>
      <c r="D16" s="139" t="s">
        <v>124</v>
      </c>
      <c r="E16" s="125" t="s">
        <v>271</v>
      </c>
      <c r="F16" s="125"/>
      <c r="G16" s="125"/>
      <c r="H16" s="125"/>
      <c r="I16" s="140">
        <f>YEAR(I15)-YEAR(I13+1)+(MONTH(I15)-MONTH(I13+1))/12</f>
        <v>2.5</v>
      </c>
      <c r="J16" s="125"/>
      <c r="K16" s="125"/>
      <c r="L16" s="125"/>
      <c r="M16" s="129"/>
      <c r="N16" s="276"/>
      <c r="O16" s="277"/>
      <c r="P16" s="277"/>
      <c r="Q16" s="278"/>
      <c r="R16" s="128">
        <f t="shared" si="1"/>
        <v>2015</v>
      </c>
    </row>
    <row r="17" spans="1:18" x14ac:dyDescent="0.2">
      <c r="A17" s="134" t="str">
        <f t="shared" si="0"/>
        <v>2016 / 3</v>
      </c>
      <c r="B17" s="138"/>
      <c r="C17" s="266">
        <f>ROUND('3.2 premium trend'!$G$31,2)</f>
        <v>1751.17</v>
      </c>
      <c r="D17" s="139" t="s">
        <v>123</v>
      </c>
      <c r="E17" s="128" t="s">
        <v>272</v>
      </c>
      <c r="I17" s="140">
        <f>YEAR(I15)-YEAR(I14+1)+(MONTH(I15)-MONTH(I14+1))/12</f>
        <v>2.5</v>
      </c>
      <c r="J17" s="125"/>
      <c r="K17" s="125"/>
      <c r="L17" s="125"/>
      <c r="M17" s="129"/>
      <c r="N17" s="276"/>
      <c r="O17" s="277"/>
      <c r="P17" s="277"/>
      <c r="Q17" s="278"/>
      <c r="R17" s="128">
        <f t="shared" si="1"/>
        <v>2016</v>
      </c>
    </row>
    <row r="18" spans="1:18" ht="10.5" thickBot="1" x14ac:dyDescent="0.25">
      <c r="A18" s="134" t="str">
        <f t="shared" si="0"/>
        <v>2017 / 3</v>
      </c>
      <c r="B18" s="138"/>
      <c r="C18" s="266">
        <f>ROUND('3.2 premium trend'!$G$35,2)</f>
        <v>1738.9</v>
      </c>
      <c r="D18" s="139" t="s">
        <v>122</v>
      </c>
      <c r="E18" s="125" t="s">
        <v>223</v>
      </c>
      <c r="F18" s="125"/>
      <c r="G18" s="125"/>
      <c r="H18" s="125"/>
      <c r="I18" s="148">
        <f>'3.2 premium trend'!$L$58</f>
        <v>1.3673731426705693E-2</v>
      </c>
      <c r="J18" s="125"/>
      <c r="K18" s="125"/>
      <c r="L18" s="125"/>
      <c r="M18" s="129"/>
      <c r="N18" s="279"/>
      <c r="O18" s="280"/>
      <c r="P18" s="280"/>
      <c r="Q18" s="281"/>
      <c r="R18" s="128">
        <f t="shared" si="1"/>
        <v>2017</v>
      </c>
    </row>
    <row r="19" spans="1:18" x14ac:dyDescent="0.2">
      <c r="A19" s="134" t="str">
        <f t="shared" si="0"/>
        <v>2018 / 3</v>
      </c>
      <c r="B19" s="138"/>
      <c r="C19" s="266">
        <f>ROUND('3.2 premium trend'!$G$39,2)</f>
        <v>1743.25</v>
      </c>
      <c r="D19" s="139" t="s">
        <v>121</v>
      </c>
      <c r="E19" s="125" t="s">
        <v>284</v>
      </c>
      <c r="F19" s="125"/>
      <c r="G19" s="125"/>
      <c r="H19" s="125"/>
      <c r="I19" s="148">
        <f>'3.3a'!F28</f>
        <v>0.03</v>
      </c>
      <c r="J19" s="125"/>
      <c r="K19" s="125"/>
      <c r="L19" s="125"/>
      <c r="M19" s="129"/>
      <c r="R19" s="128">
        <f t="shared" si="1"/>
        <v>2018</v>
      </c>
    </row>
    <row r="20" spans="1:18" x14ac:dyDescent="0.2">
      <c r="A20" s="134" t="str">
        <f t="shared" si="0"/>
        <v>2019 / 3</v>
      </c>
      <c r="C20" s="266">
        <f>ROUND('3.2 premium trend'!$G$43,2)</f>
        <v>1771.01</v>
      </c>
      <c r="J20" s="125"/>
      <c r="K20" s="125"/>
      <c r="L20" s="125"/>
      <c r="M20" s="129"/>
      <c r="R20" s="128">
        <f t="shared" si="1"/>
        <v>2019</v>
      </c>
    </row>
    <row r="21" spans="1:18" x14ac:dyDescent="0.2">
      <c r="A21" s="134" t="str">
        <f t="shared" si="0"/>
        <v>2020 / 3</v>
      </c>
      <c r="C21" s="266">
        <f>ROUND('3.2 premium trend'!$G$47,2)</f>
        <v>1785.14</v>
      </c>
      <c r="D21" s="139"/>
      <c r="E21" s="125"/>
      <c r="F21" s="141"/>
      <c r="G21" s="141"/>
      <c r="H21" s="125"/>
      <c r="I21" s="140"/>
      <c r="J21" s="125"/>
      <c r="K21" s="125"/>
      <c r="L21" s="125"/>
      <c r="M21" s="129"/>
      <c r="R21" s="128">
        <f t="shared" si="1"/>
        <v>2020</v>
      </c>
    </row>
    <row r="22" spans="1:18" x14ac:dyDescent="0.2">
      <c r="A22" s="134" t="str">
        <f t="shared" si="0"/>
        <v>2021 / 3</v>
      </c>
      <c r="C22" s="266">
        <f>ROUND('3.2 premium trend'!$G$51,2)</f>
        <v>1847.23</v>
      </c>
      <c r="J22" s="125"/>
      <c r="K22" s="125"/>
      <c r="L22" s="125"/>
      <c r="M22" s="129"/>
      <c r="R22" s="128">
        <f>YEAR(N8)</f>
        <v>2021</v>
      </c>
    </row>
    <row r="23" spans="1:18" x14ac:dyDescent="0.2">
      <c r="J23" s="125"/>
      <c r="K23" s="125"/>
      <c r="L23" s="125"/>
      <c r="M23" s="129"/>
    </row>
    <row r="24" spans="1:18" x14ac:dyDescent="0.2">
      <c r="A24" s="125"/>
      <c r="B24" s="138"/>
      <c r="C24" s="142"/>
      <c r="D24" s="143"/>
      <c r="E24" s="143"/>
      <c r="F24" s="143"/>
      <c r="G24" s="143"/>
      <c r="H24" s="125"/>
      <c r="I24" s="125"/>
      <c r="J24" s="125"/>
      <c r="K24" s="125"/>
      <c r="L24" s="125"/>
      <c r="M24" s="129"/>
    </row>
    <row r="25" spans="1:18" x14ac:dyDescent="0.2">
      <c r="A25" s="125"/>
      <c r="B25" s="125"/>
      <c r="C25" s="131" t="s">
        <v>228</v>
      </c>
      <c r="D25" s="131" t="s">
        <v>228</v>
      </c>
      <c r="E25" s="131" t="s">
        <v>229</v>
      </c>
      <c r="F25" s="131" t="s">
        <v>229</v>
      </c>
      <c r="G25" s="131" t="s">
        <v>38</v>
      </c>
      <c r="H25" s="125"/>
      <c r="I25" s="125"/>
      <c r="J25" s="125"/>
      <c r="K25" s="125"/>
      <c r="L25" s="125"/>
      <c r="M25" s="129"/>
    </row>
    <row r="26" spans="1:18" x14ac:dyDescent="0.2">
      <c r="A26" s="125" t="s">
        <v>53</v>
      </c>
      <c r="B26" s="125"/>
      <c r="C26" s="125" t="s">
        <v>127</v>
      </c>
      <c r="D26" s="125" t="s">
        <v>41</v>
      </c>
      <c r="E26" s="125" t="s">
        <v>127</v>
      </c>
      <c r="F26" s="125" t="s">
        <v>41</v>
      </c>
      <c r="G26" s="125" t="s">
        <v>39</v>
      </c>
      <c r="H26" s="125"/>
      <c r="I26" s="125"/>
      <c r="J26" s="125"/>
      <c r="K26" s="125"/>
      <c r="L26" s="125"/>
      <c r="M26" s="129"/>
    </row>
    <row r="27" spans="1:18" x14ac:dyDescent="0.2">
      <c r="A27" s="133" t="s">
        <v>54</v>
      </c>
      <c r="B27" s="133"/>
      <c r="C27" s="133" t="s">
        <v>39</v>
      </c>
      <c r="D27" s="133" t="s">
        <v>39</v>
      </c>
      <c r="E27" s="133" t="s">
        <v>39</v>
      </c>
      <c r="F27" s="133" t="s">
        <v>39</v>
      </c>
      <c r="G27" s="133" t="s">
        <v>37</v>
      </c>
      <c r="H27" s="125"/>
      <c r="I27" s="125"/>
      <c r="J27" s="125"/>
      <c r="K27" s="125"/>
      <c r="L27" s="125"/>
      <c r="M27" s="129"/>
    </row>
    <row r="28" spans="1:18" x14ac:dyDescent="0.2">
      <c r="A28" s="135" t="s">
        <v>114</v>
      </c>
      <c r="B28" s="136"/>
      <c r="C28" s="135" t="s">
        <v>205</v>
      </c>
      <c r="D28" s="135" t="s">
        <v>273</v>
      </c>
      <c r="E28" s="137" t="s">
        <v>274</v>
      </c>
      <c r="F28" s="137" t="s">
        <v>275</v>
      </c>
      <c r="G28" s="137" t="s">
        <v>206</v>
      </c>
      <c r="H28" s="125"/>
      <c r="I28" s="125"/>
      <c r="J28" s="125"/>
      <c r="K28" s="125"/>
      <c r="L28" s="125"/>
      <c r="M28" s="129"/>
    </row>
    <row r="29" spans="1:18" x14ac:dyDescent="0.2">
      <c r="A29" s="125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9"/>
    </row>
    <row r="30" spans="1:18" x14ac:dyDescent="0.2">
      <c r="A30" t="str">
        <f t="shared" ref="A30:A38" si="2">TEXT(A31-1,"#")</f>
        <v>2012</v>
      </c>
      <c r="B30" s="138"/>
      <c r="C30" s="184">
        <f>C31</f>
        <v>1.0784927046838073</v>
      </c>
      <c r="D30" s="140">
        <f>'3.3a'!F14</f>
        <v>1.2629999999999999</v>
      </c>
      <c r="E30" s="140">
        <f>(1+I$18)^I$16</f>
        <v>1.0345356966371182</v>
      </c>
      <c r="F30" s="140">
        <f t="shared" ref="F30:F39" si="3">(1+I$19)^I$17</f>
        <v>1.0766959061406336</v>
      </c>
      <c r="G30" s="140">
        <f>ROUND(PRODUCT(D30,F30)/PRODUCT(C30,E30),3)</f>
        <v>1.2190000000000001</v>
      </c>
      <c r="H30" s="125"/>
      <c r="I30" s="125"/>
      <c r="J30" s="125"/>
      <c r="K30" s="125"/>
      <c r="L30" s="125"/>
      <c r="M30" s="129"/>
    </row>
    <row r="31" spans="1:18" x14ac:dyDescent="0.2">
      <c r="A31" t="str">
        <f t="shared" si="2"/>
        <v>2013</v>
      </c>
      <c r="B31" s="138"/>
      <c r="C31" s="185">
        <f>C$22/C14</f>
        <v>1.0784927046838073</v>
      </c>
      <c r="D31" s="140">
        <f>'3.3a'!F15</f>
        <v>1.2290000000000001</v>
      </c>
      <c r="E31" s="140">
        <f t="shared" ref="E31:E39" si="4">(1+I$18)^I$16</f>
        <v>1.0345356966371182</v>
      </c>
      <c r="F31" s="140">
        <f t="shared" si="3"/>
        <v>1.0766959061406336</v>
      </c>
      <c r="G31" s="140">
        <f t="shared" ref="G31:G38" si="5">ROUND(PRODUCT(D31,F31)/PRODUCT(C31,E31),3)</f>
        <v>1.1859999999999999</v>
      </c>
      <c r="H31" s="125"/>
      <c r="I31" s="125"/>
      <c r="J31" s="125"/>
      <c r="K31" s="125"/>
      <c r="L31" s="125"/>
      <c r="M31" s="129"/>
    </row>
    <row r="32" spans="1:18" x14ac:dyDescent="0.2">
      <c r="A32" t="str">
        <f t="shared" si="2"/>
        <v>2014</v>
      </c>
      <c r="B32" s="125"/>
      <c r="C32" s="185">
        <f t="shared" ref="C32:C38" si="6">C$22/C15</f>
        <v>1.0662529943144101</v>
      </c>
      <c r="D32" s="140">
        <f>'3.3a'!F16</f>
        <v>1.1910000000000001</v>
      </c>
      <c r="E32" s="140">
        <f t="shared" si="4"/>
        <v>1.0345356966371182</v>
      </c>
      <c r="F32" s="140">
        <f t="shared" si="3"/>
        <v>1.0766959061406336</v>
      </c>
      <c r="G32" s="140">
        <f t="shared" si="5"/>
        <v>1.163</v>
      </c>
      <c r="H32" s="125"/>
      <c r="I32" s="125"/>
      <c r="J32" s="125"/>
      <c r="K32" s="125"/>
      <c r="L32" s="125"/>
      <c r="M32" s="129"/>
    </row>
    <row r="33" spans="1:13" x14ac:dyDescent="0.2">
      <c r="A33" t="str">
        <f t="shared" si="2"/>
        <v>2015</v>
      </c>
      <c r="B33" s="125"/>
      <c r="C33" s="185">
        <f t="shared" si="6"/>
        <v>1.056967276430905</v>
      </c>
      <c r="D33" s="140">
        <f>'3.3a'!F17</f>
        <v>1.1659999999999999</v>
      </c>
      <c r="E33" s="140">
        <f t="shared" si="4"/>
        <v>1.0345356966371182</v>
      </c>
      <c r="F33" s="140">
        <f t="shared" si="3"/>
        <v>1.0766959061406336</v>
      </c>
      <c r="G33" s="140">
        <f t="shared" si="5"/>
        <v>1.1479999999999999</v>
      </c>
      <c r="H33" s="125"/>
      <c r="I33" s="125"/>
      <c r="J33" s="125"/>
      <c r="K33" s="125"/>
      <c r="L33" s="125"/>
      <c r="M33" s="129"/>
    </row>
    <row r="34" spans="1:13" x14ac:dyDescent="0.2">
      <c r="A34" t="str">
        <f t="shared" si="2"/>
        <v>2016</v>
      </c>
      <c r="B34" s="125"/>
      <c r="C34" s="185">
        <f t="shared" si="6"/>
        <v>1.0548547542500157</v>
      </c>
      <c r="D34" s="140">
        <f>'3.3a'!F18</f>
        <v>1.1679999999999999</v>
      </c>
      <c r="E34" s="140">
        <f t="shared" si="4"/>
        <v>1.0345356966371182</v>
      </c>
      <c r="F34" s="140">
        <f t="shared" si="3"/>
        <v>1.0766959061406336</v>
      </c>
      <c r="G34" s="140">
        <f t="shared" si="5"/>
        <v>1.1519999999999999</v>
      </c>
      <c r="H34" s="125"/>
      <c r="I34" s="125"/>
      <c r="J34" s="125"/>
      <c r="K34" s="125"/>
      <c r="L34" s="125"/>
      <c r="M34" s="129"/>
    </row>
    <row r="35" spans="1:13" x14ac:dyDescent="0.2">
      <c r="A35" t="str">
        <f t="shared" si="2"/>
        <v>2017</v>
      </c>
      <c r="B35" s="125"/>
      <c r="C35" s="185">
        <f t="shared" si="6"/>
        <v>1.0622980044855943</v>
      </c>
      <c r="D35" s="140">
        <f>'3.3a'!F19</f>
        <v>1.1559999999999999</v>
      </c>
      <c r="E35" s="140">
        <f t="shared" si="4"/>
        <v>1.0345356966371182</v>
      </c>
      <c r="F35" s="140">
        <f t="shared" si="3"/>
        <v>1.0766959061406336</v>
      </c>
      <c r="G35" s="140">
        <f t="shared" si="5"/>
        <v>1.133</v>
      </c>
      <c r="H35" s="125"/>
      <c r="I35" s="125"/>
      <c r="J35" s="125"/>
      <c r="K35" s="125"/>
      <c r="L35" s="125"/>
      <c r="M35" s="129"/>
    </row>
    <row r="36" spans="1:13" x14ac:dyDescent="0.2">
      <c r="A36" t="str">
        <f t="shared" si="2"/>
        <v>2018</v>
      </c>
      <c r="B36" s="125"/>
      <c r="C36" s="185">
        <f t="shared" si="6"/>
        <v>1.0596472106697261</v>
      </c>
      <c r="D36" s="140">
        <f>'3.3a'!F20</f>
        <v>1.1200000000000001</v>
      </c>
      <c r="E36" s="140">
        <f t="shared" si="4"/>
        <v>1.0345356966371182</v>
      </c>
      <c r="F36" s="140">
        <f t="shared" si="3"/>
        <v>1.0766959061406336</v>
      </c>
      <c r="G36" s="140">
        <f t="shared" si="5"/>
        <v>1.1000000000000001</v>
      </c>
      <c r="H36" s="125"/>
      <c r="I36" s="125"/>
      <c r="J36" s="125"/>
      <c r="K36" s="125"/>
      <c r="L36" s="125"/>
      <c r="M36" s="129"/>
    </row>
    <row r="37" spans="1:13" x14ac:dyDescent="0.2">
      <c r="A37" t="str">
        <f t="shared" si="2"/>
        <v>2019</v>
      </c>
      <c r="B37" s="125"/>
      <c r="C37" s="185">
        <f t="shared" si="6"/>
        <v>1.0430375887205605</v>
      </c>
      <c r="D37" s="140">
        <f>'3.3a'!F21</f>
        <v>1.0880000000000001</v>
      </c>
      <c r="E37" s="140">
        <f t="shared" si="4"/>
        <v>1.0345356966371182</v>
      </c>
      <c r="F37" s="140">
        <f t="shared" si="3"/>
        <v>1.0766959061406336</v>
      </c>
      <c r="G37" s="140">
        <f>ROUND(PRODUCT(D37,F37)/PRODUCT(C37,E37),3)</f>
        <v>1.0860000000000001</v>
      </c>
      <c r="H37" s="125"/>
      <c r="I37" s="125"/>
      <c r="J37" s="125"/>
      <c r="K37" s="125"/>
      <c r="L37" s="125"/>
      <c r="M37" s="129"/>
    </row>
    <row r="38" spans="1:13" x14ac:dyDescent="0.2">
      <c r="A38" t="str">
        <f t="shared" si="2"/>
        <v>2020</v>
      </c>
      <c r="B38" s="125"/>
      <c r="C38" s="185">
        <f t="shared" si="6"/>
        <v>1.0347815857579796</v>
      </c>
      <c r="D38" s="140">
        <f>'3.3a'!F22</f>
        <v>1.091</v>
      </c>
      <c r="E38" s="140">
        <f t="shared" si="4"/>
        <v>1.0345356966371182</v>
      </c>
      <c r="F38" s="140">
        <f t="shared" si="3"/>
        <v>1.0766959061406336</v>
      </c>
      <c r="G38" s="140">
        <f t="shared" si="5"/>
        <v>1.097</v>
      </c>
      <c r="H38" s="125"/>
      <c r="I38" s="125"/>
      <c r="J38" s="125"/>
      <c r="K38" s="125"/>
      <c r="L38" s="125"/>
      <c r="M38" s="129"/>
    </row>
    <row r="39" spans="1:13" x14ac:dyDescent="0.2">
      <c r="A39" s="50" t="str">
        <f>TEXT(YEAR($N$8),"#")</f>
        <v>2021</v>
      </c>
      <c r="B39" s="125"/>
      <c r="C39" s="185">
        <f>C$22/C22</f>
        <v>1</v>
      </c>
      <c r="D39" s="140">
        <f>'3.3a'!F23</f>
        <v>1</v>
      </c>
      <c r="E39" s="140">
        <f t="shared" si="4"/>
        <v>1.0345356966371182</v>
      </c>
      <c r="F39" s="140">
        <f t="shared" si="3"/>
        <v>1.0766959061406336</v>
      </c>
      <c r="G39" s="140">
        <f>ROUND(PRODUCT(D39,F39)/PRODUCT(C39,E39),3)</f>
        <v>1.0409999999999999</v>
      </c>
      <c r="H39" s="125"/>
      <c r="I39" s="125"/>
      <c r="J39" s="125"/>
      <c r="K39" s="125"/>
      <c r="L39" s="125"/>
      <c r="M39" s="129"/>
    </row>
    <row r="40" spans="1:13" ht="10.5" thickBot="1" x14ac:dyDescent="0.25">
      <c r="A40" s="132"/>
      <c r="B40" s="132"/>
      <c r="C40" s="189"/>
      <c r="D40" s="189"/>
      <c r="E40" s="189"/>
      <c r="F40" s="189"/>
      <c r="G40" s="189"/>
      <c r="H40" s="132"/>
      <c r="I40" s="132"/>
      <c r="J40" s="125"/>
      <c r="K40" s="125"/>
      <c r="L40" s="125"/>
      <c r="M40" s="129"/>
    </row>
    <row r="41" spans="1:13" ht="10.5" thickTop="1" x14ac:dyDescent="0.2">
      <c r="A41" s="125"/>
      <c r="B41" s="125"/>
      <c r="C41" s="125"/>
      <c r="D41" s="125"/>
      <c r="E41" s="125"/>
      <c r="F41" s="125"/>
      <c r="G41" s="125"/>
      <c r="H41" s="125"/>
      <c r="I41" s="125"/>
      <c r="J41" s="125"/>
      <c r="K41" s="125"/>
      <c r="L41" s="125"/>
      <c r="M41" s="129"/>
    </row>
    <row r="42" spans="1:13" x14ac:dyDescent="0.2">
      <c r="A42" s="125" t="s">
        <v>17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9"/>
    </row>
    <row r="43" spans="1:13" x14ac:dyDescent="0.2">
      <c r="A43" s="125"/>
      <c r="B43" s="131" t="str">
        <f>C12&amp;" "&amp;'3.2 premium trend'!$L$1&amp;", "&amp;'3.2 premium trend'!$L$2&amp;" "&amp;'3.2 premium trend'!$G$12</f>
        <v>(2) Exhibit 3, Sheet 2 (6)</v>
      </c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9"/>
    </row>
    <row r="44" spans="1:13" x14ac:dyDescent="0.2">
      <c r="A44" s="125"/>
      <c r="B44" s="125" t="str">
        <f>D13&amp;" Latest Year / Quarter Ending Date - 6 Months"</f>
        <v>(3) Latest Year / Quarter Ending Date - 6 Months</v>
      </c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9"/>
    </row>
    <row r="45" spans="1:13" x14ac:dyDescent="0.2">
      <c r="A45" s="125"/>
      <c r="B45" s="125" t="str">
        <f>D14&amp;" Latest Accident Year Ending Date - 6 Months"</f>
        <v>(4) Latest Accident Year Ending Date - 6 Months</v>
      </c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9"/>
    </row>
    <row r="46" spans="1:13" x14ac:dyDescent="0.2">
      <c r="A46" s="125"/>
      <c r="B46" s="125" t="str">
        <f>D15&amp;" Rate Effective Date + 12 Months"</f>
        <v>(5) Rate Effective Date + 12 Months</v>
      </c>
      <c r="C46" s="125"/>
      <c r="D46" s="125"/>
      <c r="E46" s="125"/>
      <c r="F46" s="125"/>
      <c r="G46" s="125"/>
      <c r="H46" s="125"/>
      <c r="I46" s="125"/>
      <c r="J46" s="125"/>
      <c r="K46" s="125"/>
      <c r="L46" s="125"/>
      <c r="M46" s="129"/>
    </row>
    <row r="47" spans="1:13" x14ac:dyDescent="0.2">
      <c r="A47" s="125"/>
      <c r="B47" s="125" t="str">
        <f>D16&amp;" = "&amp;D15&amp;" - "&amp;D13</f>
        <v>(6) = (5) - (3)</v>
      </c>
      <c r="C47" s="125"/>
      <c r="D47" s="125"/>
      <c r="E47" s="125"/>
      <c r="F47" s="125"/>
      <c r="G47" s="125"/>
      <c r="H47" s="125"/>
      <c r="I47" s="125"/>
      <c r="J47" s="125"/>
      <c r="K47" s="125"/>
      <c r="L47" s="125"/>
      <c r="M47" s="129"/>
    </row>
    <row r="48" spans="1:13" x14ac:dyDescent="0.2">
      <c r="A48" s="125"/>
      <c r="B48" s="125" t="str">
        <f>D17&amp;" = "&amp;D15&amp;" - "&amp;D14</f>
        <v>(7) = (5) - (4)</v>
      </c>
      <c r="C48" s="125"/>
      <c r="D48" s="125"/>
      <c r="E48" s="125"/>
      <c r="F48" s="125"/>
      <c r="G48" s="125"/>
      <c r="H48" s="125"/>
      <c r="I48" s="125"/>
      <c r="J48" s="125"/>
      <c r="K48" s="125"/>
      <c r="L48" s="125"/>
      <c r="M48" s="129"/>
    </row>
    <row r="49" spans="1:13" x14ac:dyDescent="0.2">
      <c r="A49" s="125"/>
      <c r="B49" s="131" t="str">
        <f>D18&amp;" "&amp;'3.2 premium trend'!$L$1&amp;", "&amp;'3.2 premium trend'!$L$2</f>
        <v>(8) Exhibit 3, Sheet 2</v>
      </c>
      <c r="C49" s="125"/>
      <c r="D49" s="125"/>
      <c r="E49" s="125"/>
      <c r="F49" s="125"/>
      <c r="G49" s="125"/>
      <c r="H49" s="125"/>
      <c r="I49" s="125"/>
      <c r="J49" s="125"/>
      <c r="K49" s="125"/>
      <c r="L49" s="125"/>
      <c r="M49" s="129"/>
    </row>
    <row r="50" spans="1:13" x14ac:dyDescent="0.2">
      <c r="A50" s="125"/>
      <c r="B50" s="131" t="str">
        <f>D19&amp;" "&amp;'3.3a'!$L$1&amp;", "&amp;'3.3a'!$L$2</f>
        <v>(9) Exhibit 3, Sheet 3a</v>
      </c>
      <c r="C50" s="125"/>
      <c r="D50" s="125"/>
      <c r="E50" s="125"/>
      <c r="F50" s="125"/>
      <c r="G50" s="125"/>
      <c r="H50" s="125"/>
      <c r="I50" s="125"/>
      <c r="J50" s="125"/>
      <c r="K50" s="125"/>
      <c r="L50" s="125"/>
      <c r="M50" s="129"/>
    </row>
    <row r="51" spans="1:13" x14ac:dyDescent="0.2">
      <c r="A51" s="125"/>
      <c r="B51" s="152" t="str">
        <f>C28&amp;" = "&amp;C12&amp;" Indexed to "&amp;A22</f>
        <v>(11) = (2) Indexed to 2021 / 3</v>
      </c>
      <c r="C51" s="125"/>
      <c r="D51" s="125"/>
      <c r="E51" s="125"/>
      <c r="F51" s="125"/>
      <c r="G51" s="125"/>
      <c r="H51" s="125"/>
      <c r="I51" s="125"/>
      <c r="J51" s="125"/>
      <c r="K51" s="125"/>
      <c r="L51" s="125"/>
      <c r="M51" s="129"/>
    </row>
    <row r="52" spans="1:13" x14ac:dyDescent="0.2">
      <c r="A52" s="125"/>
      <c r="B52" s="131" t="str">
        <f>D28&amp;" "&amp;'3.3a'!$L$1&amp;", "&amp;'3.3a'!$L$2</f>
        <v>(12) Exhibit 3, Sheet 3a</v>
      </c>
      <c r="C52" s="125"/>
      <c r="D52" s="125"/>
      <c r="E52" s="125"/>
      <c r="F52" s="125"/>
      <c r="G52" s="125"/>
      <c r="H52" s="125"/>
      <c r="I52" s="125"/>
      <c r="J52" s="125"/>
      <c r="K52" s="125"/>
      <c r="L52" s="125"/>
      <c r="M52" s="129"/>
    </row>
    <row r="53" spans="1:13" x14ac:dyDescent="0.2">
      <c r="A53" s="125"/>
      <c r="B53" s="125" t="str">
        <f>E28&amp;" = [1 + "&amp;D18&amp;"] ^ "&amp;D16</f>
        <v>(13) = [1 + (8)] ^ (6)</v>
      </c>
      <c r="C53" s="125"/>
      <c r="D53" s="125"/>
      <c r="E53" s="125"/>
      <c r="F53" s="125"/>
      <c r="G53" s="125"/>
      <c r="H53" s="125"/>
      <c r="I53" s="125"/>
      <c r="J53" s="125"/>
      <c r="K53" s="125"/>
      <c r="L53" s="125"/>
      <c r="M53" s="129"/>
    </row>
    <row r="54" spans="1:13" x14ac:dyDescent="0.2">
      <c r="A54" s="125"/>
      <c r="B54" s="125" t="str">
        <f>F28&amp;" = [1 + "&amp;D19&amp;"] ^ "&amp;D17</f>
        <v>(14) = [1 + (9)] ^ (7)</v>
      </c>
      <c r="C54" s="125"/>
      <c r="D54" s="125"/>
      <c r="E54" s="125"/>
      <c r="F54" s="125"/>
      <c r="G54" s="125"/>
      <c r="H54" s="125"/>
      <c r="I54" s="125"/>
      <c r="J54" s="125"/>
      <c r="K54" s="125"/>
      <c r="L54" s="125"/>
      <c r="M54" s="129"/>
    </row>
    <row r="55" spans="1:13" x14ac:dyDescent="0.2">
      <c r="A55" s="125"/>
      <c r="B55" s="125" t="str">
        <f>G28&amp;" = ["&amp;D28&amp;" * "&amp;F28&amp;"] / ["&amp;C28&amp;" * "&amp;E28&amp;"]"</f>
        <v>(15) = [(12) * (14)] / [(11) * (13)]</v>
      </c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9"/>
    </row>
    <row r="56" spans="1:13" x14ac:dyDescent="0.2">
      <c r="A56" s="125"/>
      <c r="C56" s="125"/>
      <c r="D56" s="125"/>
      <c r="E56" s="125"/>
      <c r="F56" s="125"/>
      <c r="G56" s="125"/>
      <c r="H56" s="125"/>
      <c r="I56" s="125"/>
      <c r="J56" s="125"/>
      <c r="K56" s="125"/>
      <c r="L56" s="125"/>
      <c r="M56" s="129"/>
    </row>
    <row r="57" spans="1:13" x14ac:dyDescent="0.2">
      <c r="A57" s="125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9"/>
    </row>
    <row r="58" spans="1:13" x14ac:dyDescent="0.2">
      <c r="A58" s="125"/>
      <c r="B58" s="125"/>
      <c r="C58" s="125"/>
      <c r="D58" s="125"/>
      <c r="E58" s="125"/>
      <c r="F58" s="125"/>
      <c r="G58" s="125"/>
      <c r="H58" s="125"/>
      <c r="I58" s="125"/>
      <c r="J58" s="125"/>
      <c r="K58" s="125"/>
      <c r="L58" s="125"/>
      <c r="M58" s="129"/>
    </row>
    <row r="59" spans="1:13" x14ac:dyDescent="0.2">
      <c r="A59" s="125"/>
      <c r="B59" s="125"/>
      <c r="C59" s="144"/>
      <c r="D59" s="125"/>
      <c r="E59" s="125"/>
      <c r="F59" s="144"/>
      <c r="G59" s="144"/>
      <c r="H59" s="125"/>
      <c r="I59" s="125"/>
      <c r="J59" s="125"/>
      <c r="K59" s="125"/>
      <c r="L59" s="125"/>
      <c r="M59" s="129"/>
    </row>
    <row r="60" spans="1:13" x14ac:dyDescent="0.2">
      <c r="A60" s="125"/>
      <c r="B60" s="138"/>
      <c r="C60" s="153"/>
      <c r="J60" s="125"/>
      <c r="K60" s="125"/>
      <c r="L60" s="125"/>
      <c r="M60" s="129"/>
    </row>
    <row r="61" spans="1:13" x14ac:dyDescent="0.2">
      <c r="A61" s="125"/>
      <c r="B61" s="125"/>
      <c r="C61" s="125"/>
      <c r="D61" s="125"/>
      <c r="E61" s="125"/>
      <c r="F61" s="125"/>
      <c r="G61" s="125"/>
      <c r="H61" s="125"/>
      <c r="I61" s="125"/>
      <c r="J61" s="125"/>
      <c r="K61" s="125"/>
      <c r="L61" s="125"/>
      <c r="M61" s="129"/>
    </row>
    <row r="62" spans="1:13" x14ac:dyDescent="0.2">
      <c r="A62" s="125"/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9"/>
    </row>
    <row r="63" spans="1:13" ht="10.5" thickBot="1" x14ac:dyDescent="0.25">
      <c r="A63" s="125"/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9"/>
    </row>
    <row r="64" spans="1:13" ht="10.5" thickBot="1" x14ac:dyDescent="0.25">
      <c r="A64" s="145"/>
      <c r="B64" s="146"/>
      <c r="C64" s="146"/>
      <c r="D64" s="146"/>
      <c r="E64" s="146"/>
      <c r="F64" s="146"/>
      <c r="G64" s="146"/>
      <c r="H64" s="146"/>
      <c r="I64" s="146"/>
      <c r="J64" s="146"/>
      <c r="K64" s="146"/>
      <c r="L64" s="146"/>
      <c r="M64" s="147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5">
    <tabColor rgb="FF92D050"/>
  </sheetPr>
  <dimension ref="A1:Q51"/>
  <sheetViews>
    <sheetView showGridLines="0" workbookViewId="0">
      <selection activeCell="B49" sqref="B49"/>
    </sheetView>
  </sheetViews>
  <sheetFormatPr defaultColWidth="11.33203125" defaultRowHeight="10" x14ac:dyDescent="0.2"/>
  <cols>
    <col min="1" max="1" width="6.6640625" customWidth="1"/>
    <col min="2" max="2" width="11.33203125" customWidth="1"/>
    <col min="3" max="11" width="11.6640625" customWidth="1"/>
    <col min="12" max="12" width="4.6640625" customWidth="1"/>
  </cols>
  <sheetData>
    <row r="1" spans="1:17" ht="10.5" x14ac:dyDescent="0.25">
      <c r="A1" s="8" t="str">
        <f>'1'!$A$1</f>
        <v>Texas Windstorm Insurance Association</v>
      </c>
      <c r="B1" s="12"/>
      <c r="L1" s="7" t="s">
        <v>67</v>
      </c>
      <c r="M1" s="1"/>
      <c r="P1" t="s">
        <v>428</v>
      </c>
      <c r="Q1" t="s">
        <v>473</v>
      </c>
    </row>
    <row r="2" spans="1:17" ht="10.5" x14ac:dyDescent="0.25">
      <c r="A2" s="8" t="str">
        <f>'1'!$A$2</f>
        <v>Residential Property - Wind &amp; Hail</v>
      </c>
      <c r="B2" s="12"/>
      <c r="L2" s="7" t="s">
        <v>21</v>
      </c>
      <c r="M2" s="2"/>
      <c r="P2" t="s">
        <v>428</v>
      </c>
      <c r="Q2" t="s">
        <v>474</v>
      </c>
    </row>
    <row r="3" spans="1:17" ht="10.5" x14ac:dyDescent="0.25">
      <c r="A3" s="8" t="str">
        <f>'1'!$A$3</f>
        <v>Rate Level Review</v>
      </c>
      <c r="B3" s="12"/>
      <c r="M3" s="2"/>
    </row>
    <row r="4" spans="1:17" x14ac:dyDescent="0.2">
      <c r="A4" t="s">
        <v>65</v>
      </c>
      <c r="B4" s="12"/>
      <c r="M4" s="2"/>
    </row>
    <row r="5" spans="1:17" x14ac:dyDescent="0.2">
      <c r="A5" t="s">
        <v>66</v>
      </c>
      <c r="B5" s="12"/>
      <c r="M5" s="2"/>
    </row>
    <row r="6" spans="1:17" x14ac:dyDescent="0.2">
      <c r="M6" s="2"/>
    </row>
    <row r="7" spans="1:17" ht="10.5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50"/>
      <c r="M7" s="2"/>
    </row>
    <row r="8" spans="1:17" ht="10.5" thickTop="1" x14ac:dyDescent="0.2">
      <c r="M8" s="2"/>
    </row>
    <row r="9" spans="1:17" x14ac:dyDescent="0.2">
      <c r="C9" s="24" t="s">
        <v>68</v>
      </c>
      <c r="M9" s="2"/>
      <c r="N9" s="27"/>
    </row>
    <row r="10" spans="1:17" x14ac:dyDescent="0.2">
      <c r="A10" t="s">
        <v>53</v>
      </c>
      <c r="M10" s="2"/>
      <c r="N10" t="s">
        <v>69</v>
      </c>
    </row>
    <row r="11" spans="1:17" x14ac:dyDescent="0.2">
      <c r="A11" s="9" t="s">
        <v>54</v>
      </c>
      <c r="B11" s="9"/>
      <c r="C11" s="26">
        <f>N11</f>
        <v>15</v>
      </c>
      <c r="D11" s="26">
        <f>C11+12</f>
        <v>27</v>
      </c>
      <c r="E11" s="26">
        <f t="shared" ref="E11:K11" si="0">D11+12</f>
        <v>39</v>
      </c>
      <c r="F11" s="26">
        <f t="shared" si="0"/>
        <v>51</v>
      </c>
      <c r="G11" s="26">
        <f t="shared" si="0"/>
        <v>63</v>
      </c>
      <c r="H11" s="26">
        <f t="shared" si="0"/>
        <v>75</v>
      </c>
      <c r="I11" s="26">
        <f t="shared" si="0"/>
        <v>87</v>
      </c>
      <c r="J11" s="26">
        <f t="shared" si="0"/>
        <v>99</v>
      </c>
      <c r="K11" s="26">
        <f t="shared" si="0"/>
        <v>111</v>
      </c>
      <c r="L11" s="51"/>
      <c r="M11" s="2"/>
      <c r="N11" s="88">
        <f>(YEAR($O$23)-YEAR($N$23)+1)*12+MONTH($O$23)-MONTH($N$23)</f>
        <v>15</v>
      </c>
    </row>
    <row r="12" spans="1:17" x14ac:dyDescent="0.2">
      <c r="A12" s="13" t="str">
        <f>TEXT(COLUMN(),"(#)")</f>
        <v>(1)</v>
      </c>
      <c r="B12" s="13"/>
      <c r="C12" s="11" t="str">
        <f t="shared" ref="C12:K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J12" s="11" t="str">
        <f t="shared" si="1"/>
        <v>(9)</v>
      </c>
      <c r="K12" s="11" t="str">
        <f t="shared" si="1"/>
        <v>(10)</v>
      </c>
      <c r="L12" s="11"/>
      <c r="M12" s="2"/>
    </row>
    <row r="13" spans="1:17" x14ac:dyDescent="0.2">
      <c r="M13" s="2"/>
    </row>
    <row r="14" spans="1:17" x14ac:dyDescent="0.2">
      <c r="A14" t="str">
        <f t="shared" ref="A14:A22" si="2">TEXT(A15-1,"#")</f>
        <v>2012</v>
      </c>
      <c r="B14" s="25"/>
      <c r="C14" s="355">
        <f>ROUND('[3]EC LDF'!B$45/1000,0)</f>
        <v>162844</v>
      </c>
      <c r="D14" s="355">
        <f>ROUND('[3]EC LDF'!C$45/1000,0)</f>
        <v>196788</v>
      </c>
      <c r="E14" s="355">
        <f>ROUND('[3]EC LDF'!D$45/1000,0)</f>
        <v>232373</v>
      </c>
      <c r="F14" s="355">
        <f>ROUND('[3]EC LDF'!E$45/1000,0)</f>
        <v>242523</v>
      </c>
      <c r="G14" s="355">
        <f>ROUND('[3]EC LDF'!F$45/1000,0)</f>
        <v>245227</v>
      </c>
      <c r="H14" s="355">
        <f>ROUND('[3]EC LDF'!G$45/1000,0)</f>
        <v>246785</v>
      </c>
      <c r="I14" s="355">
        <f>ROUND('[3]EC LDF'!H$45/1000,0)</f>
        <v>247419</v>
      </c>
      <c r="J14" s="355">
        <f>ROUND('[3]EC LDF'!I$45/1000,0)</f>
        <v>247577</v>
      </c>
      <c r="K14" s="355">
        <f>ROUND('[3]EC LDF'!J$45/1000,0)</f>
        <v>247574</v>
      </c>
      <c r="L14" s="90"/>
      <c r="M14" s="2"/>
    </row>
    <row r="15" spans="1:17" x14ac:dyDescent="0.2">
      <c r="A15" t="str">
        <f t="shared" si="2"/>
        <v>2013</v>
      </c>
      <c r="B15" s="25"/>
      <c r="C15" s="355">
        <f>ROUND('[3]EC LDF'!B$49/1000,0)</f>
        <v>124050</v>
      </c>
      <c r="D15" s="355">
        <f>ROUND('[3]EC LDF'!C$49/1000,0)</f>
        <v>143359</v>
      </c>
      <c r="E15" s="355">
        <f>ROUND('[3]EC LDF'!D$49/1000,0)</f>
        <v>151995</v>
      </c>
      <c r="F15" s="355">
        <f>ROUND('[3]EC LDF'!E$49/1000,0)</f>
        <v>154466</v>
      </c>
      <c r="G15" s="355">
        <f>ROUND('[3]EC LDF'!F$49/1000,0)</f>
        <v>156218</v>
      </c>
      <c r="H15" s="355">
        <f>ROUND('[3]EC LDF'!G$49/1000,0)</f>
        <v>156541</v>
      </c>
      <c r="I15" s="355">
        <f>ROUND('[3]EC LDF'!H$49/1000,0)</f>
        <v>156580</v>
      </c>
      <c r="J15" s="355">
        <f>ROUND('[3]EC LDF'!I$49/1000,0)</f>
        <v>156628</v>
      </c>
      <c r="K15" s="355">
        <f>ROUND('[3]EC LDF'!J$49/1000,0)</f>
        <v>156632</v>
      </c>
      <c r="L15" s="90"/>
      <c r="M15" s="2"/>
    </row>
    <row r="16" spans="1:17" x14ac:dyDescent="0.2">
      <c r="A16" t="str">
        <f t="shared" si="2"/>
        <v>2014</v>
      </c>
      <c r="B16" s="25"/>
      <c r="C16" s="355">
        <f>ROUND('[3]EC LDF'!B$53/1000,0)</f>
        <v>151510</v>
      </c>
      <c r="D16" s="355">
        <f>ROUND('[3]EC LDF'!C$53/1000,0)</f>
        <v>178253</v>
      </c>
      <c r="E16" s="355">
        <f>ROUND('[3]EC LDF'!D$53/1000,0)</f>
        <v>187490</v>
      </c>
      <c r="F16" s="355">
        <f>ROUND('[3]EC LDF'!E$53/1000,0)</f>
        <v>191068</v>
      </c>
      <c r="G16" s="355">
        <f>ROUND('[3]EC LDF'!F$53/1000,0)</f>
        <v>191825</v>
      </c>
      <c r="H16" s="355">
        <f>ROUND('[3]EC LDF'!G$53/1000,0)</f>
        <v>192297</v>
      </c>
      <c r="I16" s="355">
        <f>ROUND('[3]EC LDF'!H$53/1000,0)</f>
        <v>192389</v>
      </c>
      <c r="J16" s="355">
        <f>ROUND('[3]EC LDF'!I$53/1000,0)</f>
        <v>192425</v>
      </c>
      <c r="K16" s="355"/>
      <c r="L16" s="90"/>
      <c r="M16" s="2"/>
    </row>
    <row r="17" spans="1:15" x14ac:dyDescent="0.2">
      <c r="A17" t="str">
        <f>TEXT(A18-1,"#")</f>
        <v>2015</v>
      </c>
      <c r="B17" s="25"/>
      <c r="C17" s="355">
        <f>ROUND('[3]EC LDF'!B$57/1000,0)</f>
        <v>173851</v>
      </c>
      <c r="D17" s="355">
        <f>ROUND('[3]EC LDF'!C$57/1000,0)</f>
        <v>200069</v>
      </c>
      <c r="E17" s="355">
        <f>ROUND('[3]EC LDF'!D$57/1000,0)</f>
        <v>206343</v>
      </c>
      <c r="F17" s="355">
        <f>ROUND('[3]EC LDF'!E$57/1000,0)</f>
        <v>208327</v>
      </c>
      <c r="G17" s="355">
        <f>ROUND('[3]EC LDF'!F$57/1000,0)</f>
        <v>209063</v>
      </c>
      <c r="H17" s="355">
        <f>ROUND('[3]EC LDF'!G$57/1000,0)</f>
        <v>209156</v>
      </c>
      <c r="I17" s="355">
        <f>ROUND('[3]EC LDF'!H$57/1000,0)</f>
        <v>209260</v>
      </c>
      <c r="J17" s="355"/>
      <c r="K17" s="355"/>
      <c r="L17" s="90"/>
      <c r="M17" s="2"/>
    </row>
    <row r="18" spans="1:15" x14ac:dyDescent="0.2">
      <c r="A18" t="str">
        <f t="shared" si="2"/>
        <v>2016</v>
      </c>
      <c r="B18" s="25"/>
      <c r="C18" s="355">
        <f>ROUND('[3]EC LDF'!B$61/1000,0)</f>
        <v>486124</v>
      </c>
      <c r="D18" s="355">
        <f>ROUND('[3]EC LDF'!C$61/1000,0)</f>
        <v>553332</v>
      </c>
      <c r="E18" s="355">
        <f>ROUND('[3]EC LDF'!D$61/1000,0)</f>
        <v>561570</v>
      </c>
      <c r="F18" s="355">
        <f>ROUND('[3]EC LDF'!E$61/1000,0)</f>
        <v>563809</v>
      </c>
      <c r="G18" s="355">
        <f>ROUND('[3]EC LDF'!F$61/1000,0)</f>
        <v>564583</v>
      </c>
      <c r="H18" s="355">
        <f>ROUND('[3]EC LDF'!G$61/1000,0)</f>
        <v>565035</v>
      </c>
      <c r="I18" s="355"/>
      <c r="J18" s="355"/>
      <c r="K18" s="355"/>
      <c r="L18" s="90"/>
      <c r="M18" s="2"/>
    </row>
    <row r="19" spans="1:15" x14ac:dyDescent="0.2">
      <c r="A19" t="str">
        <f t="shared" si="2"/>
        <v>2017</v>
      </c>
      <c r="B19" s="25"/>
      <c r="C19" s="355">
        <f>ROUND('[3]EC LDF'!B$65/1000,0)</f>
        <v>634033</v>
      </c>
      <c r="D19" s="355">
        <f>ROUND('[3]EC LDF'!C$65/1000,0)</f>
        <v>775472</v>
      </c>
      <c r="E19" s="355">
        <f>ROUND('[3]EC LDF'!D$65/1000,0)</f>
        <v>803501</v>
      </c>
      <c r="F19" s="355">
        <f>ROUND('[3]EC LDF'!E$65/1000,0)</f>
        <v>815757</v>
      </c>
      <c r="G19" s="355">
        <f>ROUND('[3]EC LDF'!F$65/1000,0)</f>
        <v>822750</v>
      </c>
      <c r="H19" s="355"/>
      <c r="I19" s="355"/>
      <c r="J19" s="355"/>
      <c r="K19" s="355"/>
      <c r="L19" s="90"/>
      <c r="M19" s="2"/>
    </row>
    <row r="20" spans="1:15" x14ac:dyDescent="0.2">
      <c r="A20" t="str">
        <f t="shared" si="2"/>
        <v>2018</v>
      </c>
      <c r="B20" s="25"/>
      <c r="C20" s="355">
        <f>ROUND('[3]EC LDF'!B$69/1000,0)</f>
        <v>181011</v>
      </c>
      <c r="D20" s="355">
        <f>ROUND('[3]EC LDF'!C$69/1000,0)</f>
        <v>217042</v>
      </c>
      <c r="E20" s="355">
        <f>ROUND('[3]EC LDF'!D$69/1000,0)</f>
        <v>220050</v>
      </c>
      <c r="F20" s="355">
        <f>ROUND('[3]EC LDF'!E$69/1000,0)</f>
        <v>220820</v>
      </c>
      <c r="G20" s="355"/>
      <c r="H20" s="355"/>
      <c r="I20" s="355"/>
      <c r="J20" s="355"/>
      <c r="K20" s="355"/>
      <c r="L20" s="90"/>
      <c r="M20" s="2"/>
    </row>
    <row r="21" spans="1:15" x14ac:dyDescent="0.2">
      <c r="A21" t="str">
        <f t="shared" si="2"/>
        <v>2019</v>
      </c>
      <c r="B21" s="25"/>
      <c r="C21" s="355">
        <f>ROUND('[3]EC LDF'!B$73/1000,0)</f>
        <v>276104</v>
      </c>
      <c r="D21" s="355">
        <f>ROUND('[3]EC LDF'!C$73/1000,0)</f>
        <v>316560</v>
      </c>
      <c r="E21" s="355">
        <f>ROUND('[3]EC LDF'!D$73/1000,0)</f>
        <v>323294</v>
      </c>
      <c r="F21" s="355"/>
      <c r="G21" s="355"/>
      <c r="H21" s="355"/>
      <c r="I21" s="355"/>
      <c r="J21" s="355"/>
      <c r="K21" s="355"/>
      <c r="L21" s="90"/>
      <c r="M21" s="2"/>
    </row>
    <row r="22" spans="1:15" x14ac:dyDescent="0.2">
      <c r="A22" t="str">
        <f t="shared" si="2"/>
        <v>2020</v>
      </c>
      <c r="B22" s="25"/>
      <c r="C22" s="355">
        <f>ROUND('[3]EC LDF'!B77/1000,0)</f>
        <v>322634</v>
      </c>
      <c r="D22" s="355">
        <f>ROUND('[3]EC LDF'!C77/1000,0)</f>
        <v>384159</v>
      </c>
      <c r="E22" s="355"/>
      <c r="F22" s="355"/>
      <c r="G22" s="355"/>
      <c r="H22" s="355"/>
      <c r="I22" s="355"/>
      <c r="J22" s="355"/>
      <c r="K22" s="355"/>
      <c r="L22" s="90"/>
      <c r="M22" s="2"/>
      <c r="N22" t="s">
        <v>217</v>
      </c>
      <c r="O22" t="s">
        <v>218</v>
      </c>
    </row>
    <row r="23" spans="1:15" x14ac:dyDescent="0.2">
      <c r="A23" t="str">
        <f>TEXT(YEAR($N$23),"#")</f>
        <v>2021</v>
      </c>
      <c r="B23" s="25"/>
      <c r="C23" s="355">
        <f>ROUND('[3]EC LDF'!$B$81/1000,0)</f>
        <v>401805</v>
      </c>
      <c r="D23" s="355"/>
      <c r="E23" s="355"/>
      <c r="F23" s="355"/>
      <c r="G23" s="355"/>
      <c r="H23" s="355"/>
      <c r="I23" s="355"/>
      <c r="J23" s="355"/>
      <c r="K23" s="355"/>
      <c r="L23" s="90"/>
      <c r="M23" s="2"/>
      <c r="N23" s="82">
        <f>'ldf 3.1b'!N23</f>
        <v>44469</v>
      </c>
      <c r="O23" s="82">
        <f>'ldf 3.1b'!O23</f>
        <v>44561</v>
      </c>
    </row>
    <row r="24" spans="1:15" x14ac:dyDescent="0.2">
      <c r="A24" s="9"/>
      <c r="B24" s="26"/>
      <c r="C24" s="91"/>
      <c r="D24" s="91"/>
      <c r="E24" s="91"/>
      <c r="F24" s="91"/>
      <c r="G24" s="91"/>
      <c r="H24" s="91"/>
      <c r="I24" s="91"/>
      <c r="J24" s="91"/>
      <c r="K24" s="91"/>
      <c r="L24" s="90"/>
      <c r="M24" s="2"/>
    </row>
    <row r="25" spans="1:15" x14ac:dyDescent="0.2">
      <c r="M25" s="2"/>
    </row>
    <row r="26" spans="1:15" x14ac:dyDescent="0.2">
      <c r="C26" s="24" t="s">
        <v>70</v>
      </c>
      <c r="M26" s="2"/>
    </row>
    <row r="27" spans="1:15" x14ac:dyDescent="0.2">
      <c r="A27" t="s">
        <v>53</v>
      </c>
      <c r="M27" s="2"/>
    </row>
    <row r="28" spans="1:15" x14ac:dyDescent="0.2">
      <c r="A28" s="9" t="s">
        <v>54</v>
      </c>
      <c r="B28" s="9"/>
      <c r="C28" s="9" t="str">
        <f>N11&amp;" - "&amp;D11</f>
        <v>15 - 27</v>
      </c>
      <c r="D28" s="9" t="str">
        <f t="shared" ref="D28:J28" si="3">D11&amp;" - "&amp;E11</f>
        <v>27 - 39</v>
      </c>
      <c r="E28" s="9" t="str">
        <f t="shared" si="3"/>
        <v>39 - 51</v>
      </c>
      <c r="F28" s="9" t="str">
        <f t="shared" si="3"/>
        <v>51 - 63</v>
      </c>
      <c r="G28" s="9" t="str">
        <f t="shared" si="3"/>
        <v>63 - 75</v>
      </c>
      <c r="H28" s="9" t="str">
        <f t="shared" si="3"/>
        <v>75 - 87</v>
      </c>
      <c r="I28" s="9" t="str">
        <f t="shared" si="3"/>
        <v>87 - 99</v>
      </c>
      <c r="J28" s="9" t="str">
        <f t="shared" si="3"/>
        <v>99 - 111</v>
      </c>
      <c r="K28" s="9" t="str">
        <f>K11&amp;" - Ult"</f>
        <v>111 - Ult</v>
      </c>
      <c r="L28" s="50"/>
      <c r="M28" s="2"/>
    </row>
    <row r="29" spans="1:15" x14ac:dyDescent="0.2">
      <c r="A29" s="13" t="str">
        <f>TEXT(COLUMN(),"(#)")</f>
        <v>(1)</v>
      </c>
      <c r="B29" s="13"/>
      <c r="C29" s="11" t="str">
        <f t="shared" ref="C29:K29" si="4">TEXT(COLUMN()-1,"(#)")</f>
        <v>(2)</v>
      </c>
      <c r="D29" s="11" t="str">
        <f t="shared" si="4"/>
        <v>(3)</v>
      </c>
      <c r="E29" s="11" t="str">
        <f t="shared" si="4"/>
        <v>(4)</v>
      </c>
      <c r="F29" s="11" t="str">
        <f t="shared" si="4"/>
        <v>(5)</v>
      </c>
      <c r="G29" s="11" t="str">
        <f t="shared" si="4"/>
        <v>(6)</v>
      </c>
      <c r="H29" s="11" t="str">
        <f t="shared" si="4"/>
        <v>(7)</v>
      </c>
      <c r="I29" s="11" t="str">
        <f t="shared" si="4"/>
        <v>(8)</v>
      </c>
      <c r="J29" s="11" t="str">
        <f t="shared" si="4"/>
        <v>(9)</v>
      </c>
      <c r="K29" s="11" t="str">
        <f t="shared" si="4"/>
        <v>(10)</v>
      </c>
      <c r="L29" s="11"/>
      <c r="M29" s="2"/>
    </row>
    <row r="30" spans="1:15" x14ac:dyDescent="0.2">
      <c r="M30" s="2"/>
    </row>
    <row r="31" spans="1:15" x14ac:dyDescent="0.2">
      <c r="A31" t="str">
        <f t="shared" ref="A31:A39" si="5">A14</f>
        <v>2012</v>
      </c>
      <c r="B31" s="25"/>
      <c r="C31" s="39">
        <f>IF(ISNUMBER(D14),D14/C14,"")</f>
        <v>1.2084448920439192</v>
      </c>
      <c r="D31" s="39">
        <f t="shared" ref="D31:J31" si="6">IF(ISNUMBER(E14),E14/D14,"")</f>
        <v>1.1808291155964794</v>
      </c>
      <c r="E31" s="39">
        <f t="shared" si="6"/>
        <v>1.0436797734676575</v>
      </c>
      <c r="F31" s="39">
        <f t="shared" si="6"/>
        <v>1.0111494579895515</v>
      </c>
      <c r="G31" s="39">
        <f t="shared" si="6"/>
        <v>1.006353297149172</v>
      </c>
      <c r="H31" s="39">
        <f t="shared" si="6"/>
        <v>1.002569037826448</v>
      </c>
      <c r="I31" s="39">
        <f t="shared" si="6"/>
        <v>1.0006385928324018</v>
      </c>
      <c r="J31" s="39">
        <f t="shared" si="6"/>
        <v>0.99998788255774973</v>
      </c>
      <c r="K31" s="39" t="str">
        <f t="shared" ref="K31:K39" si="7">IF(ISNUMBER(M14),M14/K14,"")</f>
        <v/>
      </c>
      <c r="L31" s="39"/>
      <c r="M31" s="2"/>
    </row>
    <row r="32" spans="1:15" x14ac:dyDescent="0.2">
      <c r="A32" t="str">
        <f t="shared" si="5"/>
        <v>2013</v>
      </c>
      <c r="B32" s="25"/>
      <c r="C32" s="39">
        <f t="shared" ref="C32:J32" si="8">IF(ISNUMBER(D15),D15/C15,"")</f>
        <v>1.1556549778315195</v>
      </c>
      <c r="D32" s="39">
        <f t="shared" si="8"/>
        <v>1.0602403755606553</v>
      </c>
      <c r="E32" s="39">
        <f t="shared" si="8"/>
        <v>1.016257113720846</v>
      </c>
      <c r="F32" s="39">
        <f t="shared" si="8"/>
        <v>1.0113423018657828</v>
      </c>
      <c r="G32" s="39">
        <f t="shared" si="8"/>
        <v>1.0020676234492825</v>
      </c>
      <c r="H32" s="39">
        <f t="shared" si="8"/>
        <v>1.0002491360090966</v>
      </c>
      <c r="I32" s="39">
        <f t="shared" si="8"/>
        <v>1.0003065525609911</v>
      </c>
      <c r="J32" s="39">
        <f t="shared" si="8"/>
        <v>1.000025538217943</v>
      </c>
      <c r="K32" s="39" t="str">
        <f t="shared" si="7"/>
        <v/>
      </c>
      <c r="L32" s="39"/>
      <c r="M32" s="2"/>
    </row>
    <row r="33" spans="1:13" x14ac:dyDescent="0.2">
      <c r="A33" t="str">
        <f t="shared" si="5"/>
        <v>2014</v>
      </c>
      <c r="B33" s="25"/>
      <c r="C33" s="39">
        <f t="shared" ref="C33:J33" si="9">IF(ISNUMBER(D16),D16/C16,"")</f>
        <v>1.1765098013332453</v>
      </c>
      <c r="D33" s="39">
        <f t="shared" si="9"/>
        <v>1.0518196047191353</v>
      </c>
      <c r="E33" s="39">
        <f t="shared" si="9"/>
        <v>1.0190836844631714</v>
      </c>
      <c r="F33" s="39">
        <f t="shared" si="9"/>
        <v>1.0039619402516382</v>
      </c>
      <c r="G33" s="39">
        <f t="shared" si="9"/>
        <v>1.0024605760458751</v>
      </c>
      <c r="H33" s="39">
        <f t="shared" si="9"/>
        <v>1.0004784266005189</v>
      </c>
      <c r="I33" s="39">
        <f t="shared" si="9"/>
        <v>1.0001871208852897</v>
      </c>
      <c r="J33" s="39" t="str">
        <f t="shared" si="9"/>
        <v/>
      </c>
      <c r="K33" s="39" t="str">
        <f t="shared" si="7"/>
        <v/>
      </c>
      <c r="L33" s="39"/>
      <c r="M33" s="2"/>
    </row>
    <row r="34" spans="1:13" x14ac:dyDescent="0.2">
      <c r="A34" t="str">
        <f t="shared" si="5"/>
        <v>2015</v>
      </c>
      <c r="B34" s="25"/>
      <c r="C34" s="39">
        <f t="shared" ref="C34:J34" si="10">IF(ISNUMBER(D17),D17/C17,"")</f>
        <v>1.150807300504455</v>
      </c>
      <c r="D34" s="39">
        <f t="shared" si="10"/>
        <v>1.0313591810825264</v>
      </c>
      <c r="E34" s="39">
        <f t="shared" si="10"/>
        <v>1.0096150584221417</v>
      </c>
      <c r="F34" s="39">
        <f t="shared" si="10"/>
        <v>1.0035329074003849</v>
      </c>
      <c r="G34" s="39">
        <f t="shared" si="10"/>
        <v>1.0004448419854302</v>
      </c>
      <c r="H34" s="39">
        <f t="shared" si="10"/>
        <v>1.0004972365124596</v>
      </c>
      <c r="I34" s="39" t="str">
        <f t="shared" si="10"/>
        <v/>
      </c>
      <c r="J34" s="39" t="str">
        <f t="shared" si="10"/>
        <v/>
      </c>
      <c r="K34" s="39" t="str">
        <f t="shared" si="7"/>
        <v/>
      </c>
      <c r="L34" s="39"/>
      <c r="M34" s="2"/>
    </row>
    <row r="35" spans="1:13" x14ac:dyDescent="0.2">
      <c r="A35" t="str">
        <f t="shared" si="5"/>
        <v>2016</v>
      </c>
      <c r="B35" s="25"/>
      <c r="C35" s="39">
        <f t="shared" ref="C35:J35" si="11">IF(ISNUMBER(D18),D18/C18,"")</f>
        <v>1.1382527914688434</v>
      </c>
      <c r="D35" s="39">
        <f t="shared" si="11"/>
        <v>1.0148879876818979</v>
      </c>
      <c r="E35" s="39">
        <f t="shared" si="11"/>
        <v>1.003987036344534</v>
      </c>
      <c r="F35" s="39">
        <f t="shared" si="11"/>
        <v>1.0013728053294644</v>
      </c>
      <c r="G35" s="39">
        <f t="shared" si="11"/>
        <v>1.0008005908785775</v>
      </c>
      <c r="H35" s="39" t="str">
        <f t="shared" si="11"/>
        <v/>
      </c>
      <c r="I35" s="39" t="str">
        <f t="shared" si="11"/>
        <v/>
      </c>
      <c r="J35" s="39" t="str">
        <f t="shared" si="11"/>
        <v/>
      </c>
      <c r="K35" s="39" t="str">
        <f t="shared" si="7"/>
        <v/>
      </c>
      <c r="L35" s="39"/>
      <c r="M35" s="2"/>
    </row>
    <row r="36" spans="1:13" x14ac:dyDescent="0.2">
      <c r="A36" t="str">
        <f t="shared" si="5"/>
        <v>2017</v>
      </c>
      <c r="B36" s="25"/>
      <c r="C36" s="39">
        <f t="shared" ref="C36:J36" si="12">IF(ISNUMBER(D19),D19/C19,"")</f>
        <v>1.2230782940320142</v>
      </c>
      <c r="D36" s="39">
        <f t="shared" si="12"/>
        <v>1.0361444384839169</v>
      </c>
      <c r="E36" s="39">
        <f t="shared" si="12"/>
        <v>1.0152532479735557</v>
      </c>
      <c r="F36" s="39">
        <f t="shared" si="12"/>
        <v>1.0085724057531837</v>
      </c>
      <c r="G36" s="39" t="str">
        <f t="shared" si="12"/>
        <v/>
      </c>
      <c r="H36" s="39" t="str">
        <f t="shared" si="12"/>
        <v/>
      </c>
      <c r="I36" s="39" t="str">
        <f t="shared" si="12"/>
        <v/>
      </c>
      <c r="J36" s="39" t="str">
        <f t="shared" si="12"/>
        <v/>
      </c>
      <c r="K36" s="39" t="str">
        <f t="shared" si="7"/>
        <v/>
      </c>
      <c r="L36" s="39"/>
      <c r="M36" s="2"/>
    </row>
    <row r="37" spans="1:13" x14ac:dyDescent="0.2">
      <c r="A37" t="str">
        <f t="shared" si="5"/>
        <v>2018</v>
      </c>
      <c r="B37" s="25"/>
      <c r="C37" s="39">
        <f t="shared" ref="C37:J37" si="13">IF(ISNUMBER(D20),D20/C20,"")</f>
        <v>1.1990542011258984</v>
      </c>
      <c r="D37" s="39">
        <f t="shared" si="13"/>
        <v>1.0138590687516702</v>
      </c>
      <c r="E37" s="39">
        <f t="shared" si="13"/>
        <v>1.0034992047261986</v>
      </c>
      <c r="F37" s="39" t="str">
        <f t="shared" si="13"/>
        <v/>
      </c>
      <c r="G37" s="39" t="str">
        <f t="shared" si="13"/>
        <v/>
      </c>
      <c r="H37" s="39" t="str">
        <f t="shared" si="13"/>
        <v/>
      </c>
      <c r="I37" s="39" t="str">
        <f t="shared" si="13"/>
        <v/>
      </c>
      <c r="J37" s="39" t="str">
        <f t="shared" si="13"/>
        <v/>
      </c>
      <c r="K37" s="39" t="str">
        <f t="shared" si="7"/>
        <v/>
      </c>
      <c r="L37" s="39"/>
      <c r="M37" s="2"/>
    </row>
    <row r="38" spans="1:13" x14ac:dyDescent="0.2">
      <c r="A38" t="str">
        <f t="shared" si="5"/>
        <v>2019</v>
      </c>
      <c r="B38" s="25"/>
      <c r="C38" s="39">
        <f t="shared" ref="C38:J38" si="14">IF(ISNUMBER(D21),D21/C21,"")</f>
        <v>1.1465244980152407</v>
      </c>
      <c r="D38" s="39">
        <f t="shared" si="14"/>
        <v>1.021272428607531</v>
      </c>
      <c r="E38" s="39" t="str">
        <f t="shared" si="14"/>
        <v/>
      </c>
      <c r="F38" s="39" t="str">
        <f t="shared" si="14"/>
        <v/>
      </c>
      <c r="G38" s="39" t="str">
        <f t="shared" si="14"/>
        <v/>
      </c>
      <c r="H38" s="39" t="str">
        <f t="shared" si="14"/>
        <v/>
      </c>
      <c r="I38" s="39" t="str">
        <f t="shared" si="14"/>
        <v/>
      </c>
      <c r="J38" s="39" t="str">
        <f t="shared" si="14"/>
        <v/>
      </c>
      <c r="K38" s="39" t="str">
        <f t="shared" si="7"/>
        <v/>
      </c>
      <c r="L38" s="39"/>
      <c r="M38" s="2"/>
    </row>
    <row r="39" spans="1:13" x14ac:dyDescent="0.2">
      <c r="A39" t="str">
        <f t="shared" si="5"/>
        <v>2020</v>
      </c>
      <c r="B39" s="25"/>
      <c r="C39" s="39">
        <f>IF(ISNUMBER(D22),D22/C22,"")</f>
        <v>1.1906959588883999</v>
      </c>
      <c r="D39" s="39" t="str">
        <f t="shared" ref="D39:J39" si="15">IF(ISNUMBER(E22),E22/D22,"")</f>
        <v/>
      </c>
      <c r="E39" s="39" t="str">
        <f t="shared" si="15"/>
        <v/>
      </c>
      <c r="F39" s="39" t="str">
        <f t="shared" si="15"/>
        <v/>
      </c>
      <c r="G39" s="39" t="str">
        <f t="shared" si="15"/>
        <v/>
      </c>
      <c r="H39" s="39" t="str">
        <f t="shared" si="15"/>
        <v/>
      </c>
      <c r="I39" s="39" t="str">
        <f t="shared" si="15"/>
        <v/>
      </c>
      <c r="J39" s="39" t="str">
        <f t="shared" si="15"/>
        <v/>
      </c>
      <c r="K39" s="39" t="str">
        <f t="shared" si="7"/>
        <v/>
      </c>
      <c r="L39" s="39"/>
      <c r="M39" s="2"/>
    </row>
    <row r="40" spans="1:13" x14ac:dyDescent="0.2">
      <c r="A40" s="9"/>
      <c r="B40" s="26"/>
      <c r="C40" s="40"/>
      <c r="D40" s="40"/>
      <c r="E40" s="40"/>
      <c r="F40" s="40"/>
      <c r="G40" s="40"/>
      <c r="H40" s="40"/>
      <c r="I40" s="40"/>
      <c r="J40" s="40"/>
      <c r="K40" s="40"/>
      <c r="M40" s="2"/>
    </row>
    <row r="41" spans="1:13" x14ac:dyDescent="0.2">
      <c r="C41" s="19"/>
      <c r="M41" s="2"/>
    </row>
    <row r="42" spans="1:13" x14ac:dyDescent="0.2">
      <c r="A42" t="s">
        <v>71</v>
      </c>
      <c r="B42" s="25"/>
      <c r="C42" s="41">
        <f>AVERAGE(C31:C39)</f>
        <v>1.176558079471504</v>
      </c>
      <c r="D42" s="41">
        <f t="shared" ref="D42:J42" si="16">AVERAGE(D31:D39)</f>
        <v>1.0513015250604765</v>
      </c>
      <c r="E42" s="41">
        <f t="shared" si="16"/>
        <v>1.0159107313025866</v>
      </c>
      <c r="F42" s="41">
        <f t="shared" si="16"/>
        <v>1.0066553030983343</v>
      </c>
      <c r="G42" s="41">
        <f t="shared" si="16"/>
        <v>1.0024253859016674</v>
      </c>
      <c r="H42" s="41">
        <f t="shared" si="16"/>
        <v>1.0009484592371307</v>
      </c>
      <c r="I42" s="41">
        <f t="shared" si="16"/>
        <v>1.0003774220928943</v>
      </c>
      <c r="J42" s="41">
        <f t="shared" si="16"/>
        <v>1.0000067103878463</v>
      </c>
      <c r="M42" s="2"/>
    </row>
    <row r="43" spans="1:13" x14ac:dyDescent="0.2">
      <c r="A43" t="s">
        <v>72</v>
      </c>
      <c r="B43" s="25"/>
      <c r="C43" s="41">
        <f>AVERAGE(C35:C39)</f>
        <v>1.1795211487060793</v>
      </c>
      <c r="D43" s="41">
        <f>AVERAGE(D34:D38)</f>
        <v>1.0235046209215084</v>
      </c>
      <c r="E43" s="41">
        <f>AVERAGE(E33:E37)</f>
        <v>1.0102876463859203</v>
      </c>
      <c r="F43" s="41">
        <f>AVERAGE(F32:F36)</f>
        <v>1.0057564721200909</v>
      </c>
      <c r="G43" s="41">
        <f>AVERAGE(G31:G35)</f>
        <v>1.0024253859016674</v>
      </c>
      <c r="H43" s="41">
        <f>AVERAGE(H31:H34)</f>
        <v>1.0009484592371307</v>
      </c>
      <c r="I43" s="41">
        <f>AVERAGE(I31:I33)</f>
        <v>1.0003774220928943</v>
      </c>
      <c r="J43" s="41">
        <f>AVERAGE(J31:J32)</f>
        <v>1.0000067103878463</v>
      </c>
      <c r="M43" s="2"/>
    </row>
    <row r="44" spans="1:13" x14ac:dyDescent="0.2">
      <c r="A44" t="s">
        <v>265</v>
      </c>
      <c r="C44" s="119">
        <v>1.1660752882677889</v>
      </c>
      <c r="D44" s="119">
        <v>1.0521102348682316</v>
      </c>
      <c r="E44" s="119">
        <v>1.0184862911202153</v>
      </c>
      <c r="F44" s="119">
        <v>1.0091075099300055</v>
      </c>
      <c r="G44" s="119">
        <v>1.0031972594591545</v>
      </c>
      <c r="H44" s="119">
        <v>1.0007367429157137</v>
      </c>
      <c r="I44" s="119">
        <v>1.000380211902522</v>
      </c>
      <c r="J44" s="119">
        <v>1.0001105445907035</v>
      </c>
      <c r="K44" s="119">
        <v>1</v>
      </c>
      <c r="L44" s="119"/>
      <c r="M44" s="2"/>
    </row>
    <row r="45" spans="1:13" x14ac:dyDescent="0.2">
      <c r="A45" t="s">
        <v>73</v>
      </c>
      <c r="C45" s="42">
        <f>AVERAGE(C42,C44)</f>
        <v>1.1713166838696465</v>
      </c>
      <c r="D45" s="42">
        <f t="shared" ref="D45:K45" si="17">AVERAGE(D42,D44)</f>
        <v>1.0517058799643539</v>
      </c>
      <c r="E45" s="42">
        <f t="shared" si="17"/>
        <v>1.0171985112114008</v>
      </c>
      <c r="F45" s="42">
        <f t="shared" si="17"/>
        <v>1.0078814065141699</v>
      </c>
      <c r="G45" s="42">
        <f t="shared" si="17"/>
        <v>1.002811322680411</v>
      </c>
      <c r="H45" s="42">
        <f t="shared" si="17"/>
        <v>1.0008426010764222</v>
      </c>
      <c r="I45" s="42">
        <f t="shared" si="17"/>
        <v>1.0003788169977081</v>
      </c>
      <c r="J45" s="42">
        <f t="shared" si="17"/>
        <v>1.0000586274892749</v>
      </c>
      <c r="K45" s="42">
        <f t="shared" si="17"/>
        <v>1</v>
      </c>
      <c r="L45" s="42"/>
      <c r="M45" s="2"/>
    </row>
    <row r="46" spans="1:13" x14ac:dyDescent="0.2">
      <c r="A46" t="s">
        <v>331</v>
      </c>
      <c r="C46" s="36">
        <f>ROUND(C45*D46,3)</f>
        <v>1.2669999999999999</v>
      </c>
      <c r="D46" s="36">
        <f t="shared" ref="D46:J46" si="18">ROUND(D45*E46,3)</f>
        <v>1.0820000000000001</v>
      </c>
      <c r="E46" s="36">
        <f>ROUND(E45*F46,3)</f>
        <v>1.0289999999999999</v>
      </c>
      <c r="F46" s="36">
        <f t="shared" si="18"/>
        <v>1.012</v>
      </c>
      <c r="G46" s="36">
        <f t="shared" si="18"/>
        <v>1.004</v>
      </c>
      <c r="H46" s="36">
        <f t="shared" si="18"/>
        <v>1.0009999999999999</v>
      </c>
      <c r="I46" s="36">
        <f t="shared" si="18"/>
        <v>1</v>
      </c>
      <c r="J46" s="36">
        <f t="shared" si="18"/>
        <v>1</v>
      </c>
      <c r="K46" s="36">
        <v>1</v>
      </c>
      <c r="M46" s="2"/>
    </row>
    <row r="47" spans="1:13" ht="10.5" thickBo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M47" s="2"/>
    </row>
    <row r="48" spans="1:13" ht="10.5" thickTop="1" x14ac:dyDescent="0.2">
      <c r="A48" t="s">
        <v>17</v>
      </c>
      <c r="M48" s="2"/>
    </row>
    <row r="49" spans="1:13" x14ac:dyDescent="0.2">
      <c r="B49" s="22" t="str">
        <f>"Provided by TICO.  Accident years ending "&amp;TEXT($N$23,"m/d/xx")</f>
        <v>Provided by TICO.  Accident years ending 9/30/xx</v>
      </c>
      <c r="M49" s="2"/>
    </row>
    <row r="50" spans="1:13" ht="10.5" thickBot="1" x14ac:dyDescent="0.25">
      <c r="M50" s="2"/>
    </row>
    <row r="51" spans="1:13" ht="10.5" thickBot="1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3"/>
    </row>
  </sheetData>
  <phoneticPr fontId="0" type="noConversion"/>
  <pageMargins left="0.5" right="0.5" top="0.5" bottom="0.5" header="0.5" footer="0.5"/>
  <pageSetup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Y51"/>
  <sheetViews>
    <sheetView showGridLines="0" workbookViewId="0">
      <selection activeCell="B49" sqref="B49"/>
    </sheetView>
  </sheetViews>
  <sheetFormatPr defaultColWidth="11.33203125" defaultRowHeight="10" x14ac:dyDescent="0.2"/>
  <cols>
    <col min="1" max="1" width="6.6640625" customWidth="1"/>
    <col min="2" max="2" width="11.33203125" customWidth="1"/>
    <col min="3" max="11" width="11.6640625" customWidth="1"/>
    <col min="12" max="12" width="4.6640625" customWidth="1"/>
  </cols>
  <sheetData>
    <row r="1" spans="1:19" ht="10.5" x14ac:dyDescent="0.25">
      <c r="A1" s="8" t="str">
        <f>'1'!$A$1</f>
        <v>Texas Windstorm Insurance Association</v>
      </c>
      <c r="B1" s="12"/>
      <c r="L1" s="7" t="s">
        <v>67</v>
      </c>
      <c r="M1" s="1"/>
      <c r="O1" t="s">
        <v>428</v>
      </c>
      <c r="P1" t="s">
        <v>473</v>
      </c>
      <c r="S1" s="315" t="s">
        <v>424</v>
      </c>
    </row>
    <row r="2" spans="1:19" ht="10.5" x14ac:dyDescent="0.25">
      <c r="A2" s="8" t="str">
        <f>'1'!$A$2</f>
        <v>Residential Property - Wind &amp; Hail</v>
      </c>
      <c r="B2" s="12"/>
      <c r="L2" s="7" t="s">
        <v>21</v>
      </c>
      <c r="M2" s="2"/>
      <c r="O2" t="s">
        <v>428</v>
      </c>
      <c r="P2" t="s">
        <v>474</v>
      </c>
    </row>
    <row r="3" spans="1:19" ht="10.5" x14ac:dyDescent="0.25">
      <c r="A3" s="8" t="str">
        <f>'1'!$A$3</f>
        <v>Rate Level Review</v>
      </c>
      <c r="B3" s="12"/>
      <c r="M3" s="2"/>
    </row>
    <row r="4" spans="1:19" x14ac:dyDescent="0.2">
      <c r="A4" t="s">
        <v>89</v>
      </c>
      <c r="B4" s="12"/>
      <c r="M4" s="2"/>
    </row>
    <row r="5" spans="1:19" x14ac:dyDescent="0.2">
      <c r="A5" t="s">
        <v>351</v>
      </c>
      <c r="B5" s="12"/>
      <c r="M5" s="2"/>
    </row>
    <row r="6" spans="1:19" x14ac:dyDescent="0.2">
      <c r="M6" s="2"/>
    </row>
    <row r="7" spans="1:19" ht="10.5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50"/>
      <c r="M7" s="2"/>
    </row>
    <row r="8" spans="1:19" ht="10.5" thickTop="1" x14ac:dyDescent="0.2">
      <c r="M8" s="2"/>
    </row>
    <row r="9" spans="1:19" x14ac:dyDescent="0.2">
      <c r="C9" s="24" t="s">
        <v>68</v>
      </c>
      <c r="M9" s="2"/>
      <c r="N9" s="27"/>
    </row>
    <row r="10" spans="1:19" x14ac:dyDescent="0.2">
      <c r="A10" t="s">
        <v>53</v>
      </c>
      <c r="M10" s="2"/>
      <c r="N10" t="s">
        <v>69</v>
      </c>
    </row>
    <row r="11" spans="1:19" x14ac:dyDescent="0.2">
      <c r="A11" s="9" t="s">
        <v>54</v>
      </c>
      <c r="B11" s="9"/>
      <c r="C11" s="26">
        <f>N11</f>
        <v>15</v>
      </c>
      <c r="D11" s="26">
        <f>C11+12</f>
        <v>27</v>
      </c>
      <c r="E11" s="26">
        <f t="shared" ref="E11:K11" si="0">D11+12</f>
        <v>39</v>
      </c>
      <c r="F11" s="26">
        <f t="shared" si="0"/>
        <v>51</v>
      </c>
      <c r="G11" s="26">
        <f t="shared" si="0"/>
        <v>63</v>
      </c>
      <c r="H11" s="26">
        <f t="shared" si="0"/>
        <v>75</v>
      </c>
      <c r="I11" s="26">
        <f t="shared" si="0"/>
        <v>87</v>
      </c>
      <c r="J11" s="26">
        <f t="shared" si="0"/>
        <v>99</v>
      </c>
      <c r="K11" s="26">
        <f t="shared" si="0"/>
        <v>111</v>
      </c>
      <c r="L11" s="51"/>
      <c r="M11" s="2"/>
      <c r="N11" s="88">
        <f>(YEAR($O$23)-YEAR($N$23)+1)*12+MONTH($O$23)-MONTH($N$23)</f>
        <v>15</v>
      </c>
    </row>
    <row r="12" spans="1:19" x14ac:dyDescent="0.2">
      <c r="A12" s="13" t="str">
        <f>TEXT(COLUMN(),"(#)")</f>
        <v>(1)</v>
      </c>
      <c r="B12" s="13"/>
      <c r="C12" s="11" t="str">
        <f t="shared" ref="C12:K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J12" s="11" t="str">
        <f t="shared" si="1"/>
        <v>(9)</v>
      </c>
      <c r="K12" s="11" t="str">
        <f t="shared" si="1"/>
        <v>(10)</v>
      </c>
      <c r="L12" s="11"/>
      <c r="M12" s="2"/>
    </row>
    <row r="13" spans="1:19" x14ac:dyDescent="0.2">
      <c r="M13" s="2"/>
    </row>
    <row r="14" spans="1:19" x14ac:dyDescent="0.2">
      <c r="A14" t="str">
        <f t="shared" ref="A14:A22" si="2">TEXT(A15-1,"#")</f>
        <v>2012</v>
      </c>
      <c r="B14" s="25"/>
      <c r="C14" s="355">
        <f>ROUND('[3]EC LDF'!B$47/1000,0)</f>
        <v>170023</v>
      </c>
      <c r="D14" s="355">
        <f>ROUND('[3]EC LDF'!C$47/1000,0)</f>
        <v>203480</v>
      </c>
      <c r="E14" s="355">
        <f>ROUND('[3]EC LDF'!D$47/1000,0)</f>
        <v>240439</v>
      </c>
      <c r="F14" s="355">
        <f>ROUND('[3]EC LDF'!E$47/1000,0)</f>
        <v>246180</v>
      </c>
      <c r="G14" s="355">
        <f>ROUND('[3]EC LDF'!F$47/1000,0)</f>
        <v>247027</v>
      </c>
      <c r="H14" s="355">
        <f>ROUND('[3]EC LDF'!G$47/1000,0)</f>
        <v>247422</v>
      </c>
      <c r="I14" s="355">
        <f>ROUND('[3]EC LDF'!H$47/1000,0)</f>
        <v>247520</v>
      </c>
      <c r="J14" s="355">
        <f>ROUND('[3]EC LDF'!I$47/1000,0)</f>
        <v>247594</v>
      </c>
      <c r="K14" s="355">
        <f>ROUND('[3]EC LDF'!J$47/1000,0)</f>
        <v>247574</v>
      </c>
      <c r="L14" s="90"/>
      <c r="M14" s="2"/>
    </row>
    <row r="15" spans="1:19" x14ac:dyDescent="0.2">
      <c r="A15" t="str">
        <f t="shared" si="2"/>
        <v>2013</v>
      </c>
      <c r="B15" s="25"/>
      <c r="C15" s="355">
        <f>ROUND('[3]EC LDF'!B$51/1000,0)</f>
        <v>127453</v>
      </c>
      <c r="D15" s="355">
        <f>ROUND('[3]EC LDF'!C$51/1000,0)</f>
        <v>147009</v>
      </c>
      <c r="E15" s="355">
        <f>ROUND('[3]EC LDF'!D$51/1000,0)</f>
        <v>154930</v>
      </c>
      <c r="F15" s="355">
        <f>ROUND('[3]EC LDF'!E$51/1000,0)</f>
        <v>155922</v>
      </c>
      <c r="G15" s="355">
        <f>ROUND('[3]EC LDF'!F$51/1000,0)</f>
        <v>156569</v>
      </c>
      <c r="H15" s="355">
        <f>ROUND('[3]EC LDF'!G$51/1000,0)</f>
        <v>156577</v>
      </c>
      <c r="I15" s="355">
        <f>ROUND('[3]EC LDF'!H$51/1000,0)</f>
        <v>156580</v>
      </c>
      <c r="J15" s="355">
        <f>ROUND('[3]EC LDF'!I$51/1000,0)</f>
        <v>156628</v>
      </c>
      <c r="K15" s="355">
        <f>ROUND('[3]EC LDF'!J$51/1000,0)</f>
        <v>156632</v>
      </c>
      <c r="L15" s="90"/>
      <c r="M15" s="2"/>
    </row>
    <row r="16" spans="1:19" x14ac:dyDescent="0.2">
      <c r="A16" t="str">
        <f t="shared" si="2"/>
        <v>2014</v>
      </c>
      <c r="B16" s="25"/>
      <c r="C16" s="355">
        <f>ROUND('[3]EC LDF'!B$55/1000,0)</f>
        <v>157426</v>
      </c>
      <c r="D16" s="355">
        <f>ROUND('[3]EC LDF'!C$55/1000,0)</f>
        <v>183366</v>
      </c>
      <c r="E16" s="355">
        <f>ROUND('[3]EC LDF'!D$55/1000,0)</f>
        <v>190278</v>
      </c>
      <c r="F16" s="355">
        <f>ROUND('[3]EC LDF'!E$55/1000,0)</f>
        <v>191866</v>
      </c>
      <c r="G16" s="355">
        <f>ROUND('[3]EC LDF'!F$55/1000,0)</f>
        <v>192056</v>
      </c>
      <c r="H16" s="355">
        <f>ROUND('[3]EC LDF'!G$55/1000,0)</f>
        <v>192342</v>
      </c>
      <c r="I16" s="355">
        <f>ROUND('[3]EC LDF'!H$55/1000,0)</f>
        <v>192403</v>
      </c>
      <c r="J16" s="355">
        <f>ROUND('[3]EC LDF'!I$55/1000,0)</f>
        <v>192425</v>
      </c>
      <c r="K16" s="355"/>
      <c r="L16" s="90"/>
      <c r="M16" s="2"/>
    </row>
    <row r="17" spans="1:15" x14ac:dyDescent="0.2">
      <c r="A17" t="str">
        <f>TEXT(A18-1,"#")</f>
        <v>2015</v>
      </c>
      <c r="B17" s="25"/>
      <c r="C17" s="355">
        <f>ROUND('[3]EC LDF'!B$59/1000,0)</f>
        <v>183266</v>
      </c>
      <c r="D17" s="355">
        <f>ROUND('[3]EC LDF'!C$59/1000,0)</f>
        <v>204239</v>
      </c>
      <c r="E17" s="355">
        <f>ROUND('[3]EC LDF'!D$59/1000,0)</f>
        <v>208541</v>
      </c>
      <c r="F17" s="355">
        <f>ROUND('[3]EC LDF'!E$59/1000,0)</f>
        <v>209008</v>
      </c>
      <c r="G17" s="355">
        <f>ROUND('[3]EC LDF'!F$59/1000,0)</f>
        <v>209335</v>
      </c>
      <c r="H17" s="355">
        <f>ROUND('[3]EC LDF'!G$59/1000,0)</f>
        <v>209189</v>
      </c>
      <c r="I17" s="355">
        <f>ROUND('[3]EC LDF'!H$59/1000,0)</f>
        <v>209282</v>
      </c>
      <c r="J17" s="355"/>
      <c r="K17" s="355"/>
      <c r="L17" s="90"/>
      <c r="M17" s="2"/>
    </row>
    <row r="18" spans="1:15" x14ac:dyDescent="0.2">
      <c r="A18" t="str">
        <f t="shared" si="2"/>
        <v>2016</v>
      </c>
      <c r="B18" s="25"/>
      <c r="C18" s="355">
        <f>ROUND('[3]EC LDF'!B$63/1000,0)</f>
        <v>498092</v>
      </c>
      <c r="D18" s="355">
        <f>ROUND('[3]EC LDF'!C$63/1000,0)</f>
        <v>556120</v>
      </c>
      <c r="E18" s="355">
        <f>ROUND('[3]EC LDF'!D$63/1000,0)</f>
        <v>562298</v>
      </c>
      <c r="F18" s="355">
        <f>ROUND('[3]EC LDF'!E$63/1000,0)</f>
        <v>564014</v>
      </c>
      <c r="G18" s="355">
        <f>ROUND('[3]EC LDF'!F$63/1000,0)</f>
        <v>564747</v>
      </c>
      <c r="H18" s="355">
        <f>ROUND('[3]EC LDF'!G$63/1000,0)</f>
        <v>565099</v>
      </c>
      <c r="I18" s="355"/>
      <c r="J18" s="355"/>
      <c r="K18" s="355"/>
      <c r="L18" s="90"/>
      <c r="M18" s="2"/>
    </row>
    <row r="19" spans="1:15" x14ac:dyDescent="0.2">
      <c r="A19" t="str">
        <f t="shared" si="2"/>
        <v>2017</v>
      </c>
      <c r="B19" s="25"/>
      <c r="C19" s="355">
        <f>ROUND('[3]EC LDF'!B$67/1000,0)</f>
        <v>665247</v>
      </c>
      <c r="D19" s="355">
        <f>ROUND('[3]EC LDF'!C$67/1000,0)</f>
        <v>791814</v>
      </c>
      <c r="E19" s="355">
        <f>ROUND('[3]EC LDF'!D$67/1000,0)</f>
        <v>816792</v>
      </c>
      <c r="F19" s="355">
        <f>ROUND('[3]EC LDF'!E$67/1000,0)</f>
        <v>822536</v>
      </c>
      <c r="G19" s="355">
        <f>ROUND('[3]EC LDF'!F$67/1000,0)</f>
        <v>825860</v>
      </c>
      <c r="H19" s="355"/>
      <c r="I19" s="355"/>
      <c r="J19" s="355"/>
      <c r="K19" s="355"/>
      <c r="L19" s="90"/>
      <c r="M19" s="2"/>
    </row>
    <row r="20" spans="1:15" x14ac:dyDescent="0.2">
      <c r="A20" t="str">
        <f t="shared" si="2"/>
        <v>2018</v>
      </c>
      <c r="B20" s="25"/>
      <c r="C20" s="355">
        <f>ROUND('[3]EC LDF'!B$71/1000,0)</f>
        <v>186500</v>
      </c>
      <c r="D20" s="355">
        <f>ROUND('[3]EC LDF'!C$71/1000,0)</f>
        <v>218189</v>
      </c>
      <c r="E20" s="355">
        <f>ROUND('[3]EC LDF'!D$71/1000,0)</f>
        <v>220721</v>
      </c>
      <c r="F20" s="355">
        <f>ROUND('[3]EC LDF'!E$71/1000,0)</f>
        <v>221225</v>
      </c>
      <c r="G20" s="355"/>
      <c r="H20" s="355"/>
      <c r="I20" s="355"/>
      <c r="J20" s="355"/>
      <c r="K20" s="355"/>
      <c r="L20" s="90"/>
      <c r="M20" s="2"/>
    </row>
    <row r="21" spans="1:15" x14ac:dyDescent="0.2">
      <c r="A21" t="str">
        <f t="shared" si="2"/>
        <v>2019</v>
      </c>
      <c r="B21" s="25"/>
      <c r="C21" s="355">
        <f>ROUND('[3]EC LDF'!B$75/1000,0)</f>
        <v>283698</v>
      </c>
      <c r="D21" s="355">
        <f>ROUND('[3]EC LDF'!C$75/1000,0)</f>
        <v>318858</v>
      </c>
      <c r="E21" s="355">
        <f>ROUND('[3]EC LDF'!D$75/1000,0)</f>
        <v>324428</v>
      </c>
      <c r="F21" s="355"/>
      <c r="G21" s="355"/>
      <c r="H21" s="355"/>
      <c r="I21" s="355"/>
      <c r="J21" s="355"/>
      <c r="K21" s="355"/>
      <c r="L21" s="90"/>
      <c r="M21" s="2"/>
    </row>
    <row r="22" spans="1:15" x14ac:dyDescent="0.2">
      <c r="A22" t="str">
        <f t="shared" si="2"/>
        <v>2020</v>
      </c>
      <c r="B22" s="25"/>
      <c r="C22" s="355">
        <f>ROUND('[3]EC LDF'!B$79/1000,0)</f>
        <v>338256</v>
      </c>
      <c r="D22" s="355">
        <f>ROUND('[3]EC LDF'!C$79/1000,0)</f>
        <v>390272</v>
      </c>
      <c r="E22" s="355"/>
      <c r="F22" s="355"/>
      <c r="G22" s="355"/>
      <c r="H22" s="355"/>
      <c r="I22" s="355"/>
      <c r="J22" s="355"/>
      <c r="K22" s="355"/>
      <c r="L22" s="90"/>
      <c r="M22" s="2"/>
      <c r="N22" t="s">
        <v>217</v>
      </c>
      <c r="O22" t="s">
        <v>218</v>
      </c>
    </row>
    <row r="23" spans="1:15" x14ac:dyDescent="0.2">
      <c r="A23" t="str">
        <f>TEXT(YEAR($N$23),"#")</f>
        <v>2021</v>
      </c>
      <c r="B23" s="25"/>
      <c r="C23" s="355">
        <f>ROUND('[3]EC LDF'!$B$83/1000,0)</f>
        <v>421876</v>
      </c>
      <c r="D23" s="355"/>
      <c r="E23" s="355"/>
      <c r="F23" s="355"/>
      <c r="G23" s="355"/>
      <c r="H23" s="355"/>
      <c r="I23" s="355"/>
      <c r="J23" s="355"/>
      <c r="K23" s="355"/>
      <c r="L23" s="90"/>
      <c r="M23" s="2"/>
      <c r="N23" s="82">
        <f>'[3]EC LDF'!B1</f>
        <v>44469</v>
      </c>
      <c r="O23" s="82">
        <f>'[3]EC LDF'!$B$2</f>
        <v>44561</v>
      </c>
    </row>
    <row r="24" spans="1:15" x14ac:dyDescent="0.2">
      <c r="A24" s="9"/>
      <c r="B24" s="26"/>
      <c r="C24" s="91"/>
      <c r="D24" s="91"/>
      <c r="E24" s="91"/>
      <c r="F24" s="91"/>
      <c r="G24" s="91"/>
      <c r="H24" s="91"/>
      <c r="I24" s="91"/>
      <c r="J24" s="91"/>
      <c r="K24" s="91"/>
      <c r="L24" s="90"/>
      <c r="M24" s="2"/>
      <c r="N24" s="82"/>
    </row>
    <row r="25" spans="1:15" x14ac:dyDescent="0.2">
      <c r="M25" s="2"/>
    </row>
    <row r="26" spans="1:15" x14ac:dyDescent="0.2">
      <c r="C26" s="24" t="s">
        <v>70</v>
      </c>
      <c r="M26" s="2"/>
    </row>
    <row r="27" spans="1:15" x14ac:dyDescent="0.2">
      <c r="A27" t="s">
        <v>53</v>
      </c>
      <c r="M27" s="2"/>
    </row>
    <row r="28" spans="1:15" x14ac:dyDescent="0.2">
      <c r="A28" s="9" t="s">
        <v>54</v>
      </c>
      <c r="B28" s="9"/>
      <c r="C28" s="9" t="str">
        <f>N11&amp;" - "&amp;D11</f>
        <v>15 - 27</v>
      </c>
      <c r="D28" s="9" t="str">
        <f t="shared" ref="D28:J28" si="3">D11&amp;" - "&amp;E11</f>
        <v>27 - 39</v>
      </c>
      <c r="E28" s="9" t="str">
        <f t="shared" si="3"/>
        <v>39 - 51</v>
      </c>
      <c r="F28" s="9" t="str">
        <f t="shared" si="3"/>
        <v>51 - 63</v>
      </c>
      <c r="G28" s="9" t="str">
        <f t="shared" si="3"/>
        <v>63 - 75</v>
      </c>
      <c r="H28" s="9" t="str">
        <f t="shared" si="3"/>
        <v>75 - 87</v>
      </c>
      <c r="I28" s="9" t="str">
        <f t="shared" si="3"/>
        <v>87 - 99</v>
      </c>
      <c r="J28" s="9" t="str">
        <f t="shared" si="3"/>
        <v>99 - 111</v>
      </c>
      <c r="K28" s="9" t="str">
        <f>K11&amp;" - Ult"</f>
        <v>111 - Ult</v>
      </c>
      <c r="L28" s="50"/>
      <c r="M28" s="2"/>
    </row>
    <row r="29" spans="1:15" x14ac:dyDescent="0.2">
      <c r="A29" s="13" t="str">
        <f>TEXT(COLUMN(),"(#)")</f>
        <v>(1)</v>
      </c>
      <c r="B29" s="13"/>
      <c r="C29" s="11" t="str">
        <f t="shared" ref="C29:K29" si="4">TEXT(COLUMN()-1,"(#)")</f>
        <v>(2)</v>
      </c>
      <c r="D29" s="11" t="str">
        <f t="shared" si="4"/>
        <v>(3)</v>
      </c>
      <c r="E29" s="11" t="str">
        <f t="shared" si="4"/>
        <v>(4)</v>
      </c>
      <c r="F29" s="11" t="str">
        <f t="shared" si="4"/>
        <v>(5)</v>
      </c>
      <c r="G29" s="11" t="str">
        <f t="shared" si="4"/>
        <v>(6)</v>
      </c>
      <c r="H29" s="11" t="str">
        <f t="shared" si="4"/>
        <v>(7)</v>
      </c>
      <c r="I29" s="11" t="str">
        <f t="shared" si="4"/>
        <v>(8)</v>
      </c>
      <c r="J29" s="11" t="str">
        <f t="shared" si="4"/>
        <v>(9)</v>
      </c>
      <c r="K29" s="11" t="str">
        <f t="shared" si="4"/>
        <v>(10)</v>
      </c>
      <c r="L29" s="11"/>
      <c r="M29" s="2"/>
    </row>
    <row r="30" spans="1:15" x14ac:dyDescent="0.2">
      <c r="M30" s="2"/>
    </row>
    <row r="31" spans="1:15" x14ac:dyDescent="0.2">
      <c r="A31" t="str">
        <f t="shared" ref="A31:A39" si="5">A14</f>
        <v>2012</v>
      </c>
      <c r="B31" s="25"/>
      <c r="C31" s="39">
        <f>IF(ISNUMBER(D14),D14/C14,"")</f>
        <v>1.1967792592766862</v>
      </c>
      <c r="D31" s="39">
        <f t="shared" ref="D31:J31" si="6">IF(ISNUMBER(E14),E14/D14,"")</f>
        <v>1.1816345586789856</v>
      </c>
      <c r="E31" s="39">
        <f t="shared" si="6"/>
        <v>1.0238771580317669</v>
      </c>
      <c r="F31" s="39">
        <f t="shared" si="6"/>
        <v>1.0034405719392314</v>
      </c>
      <c r="G31" s="39">
        <f t="shared" si="6"/>
        <v>1.0015990154922336</v>
      </c>
      <c r="H31" s="39">
        <f t="shared" si="6"/>
        <v>1.0003960844225654</v>
      </c>
      <c r="I31" s="39">
        <f t="shared" si="6"/>
        <v>1.0002989657401422</v>
      </c>
      <c r="J31" s="39">
        <f t="shared" si="6"/>
        <v>0.99991922259828592</v>
      </c>
      <c r="K31" s="39">
        <v>1</v>
      </c>
      <c r="L31" s="39"/>
      <c r="M31" s="2"/>
    </row>
    <row r="32" spans="1:15" x14ac:dyDescent="0.2">
      <c r="A32" t="str">
        <f t="shared" si="5"/>
        <v>2013</v>
      </c>
      <c r="B32" s="25"/>
      <c r="C32" s="39">
        <f t="shared" ref="C32:J39" si="7">IF(ISNUMBER(D15),D15/C15,"")</f>
        <v>1.1534369532298181</v>
      </c>
      <c r="D32" s="39">
        <f t="shared" si="7"/>
        <v>1.0538810549014006</v>
      </c>
      <c r="E32" s="39">
        <f t="shared" si="7"/>
        <v>1.0064028916284773</v>
      </c>
      <c r="F32" s="39">
        <f t="shared" si="7"/>
        <v>1.0041495106527623</v>
      </c>
      <c r="G32" s="39">
        <f t="shared" si="7"/>
        <v>1.0000510956830535</v>
      </c>
      <c r="H32" s="39">
        <f t="shared" si="7"/>
        <v>1.0000191599021568</v>
      </c>
      <c r="I32" s="39">
        <f t="shared" si="7"/>
        <v>1.0003065525609911</v>
      </c>
      <c r="J32" s="39">
        <f t="shared" si="7"/>
        <v>1.000025538217943</v>
      </c>
      <c r="K32" s="39" t="str">
        <f t="shared" ref="K32:K39" si="8">IF(ISNUMBER(M15),M15/K15,"")</f>
        <v/>
      </c>
      <c r="L32" s="39"/>
      <c r="M32" s="2"/>
    </row>
    <row r="33" spans="1:25" x14ac:dyDescent="0.2">
      <c r="A33" t="str">
        <f t="shared" si="5"/>
        <v>2014</v>
      </c>
      <c r="B33" s="25"/>
      <c r="C33" s="39">
        <f t="shared" si="7"/>
        <v>1.1647758311841754</v>
      </c>
      <c r="D33" s="39">
        <f t="shared" si="7"/>
        <v>1.0376951016000786</v>
      </c>
      <c r="E33" s="39">
        <f t="shared" si="7"/>
        <v>1.0083456836838731</v>
      </c>
      <c r="F33" s="39">
        <f t="shared" si="7"/>
        <v>1.0009902744623853</v>
      </c>
      <c r="G33" s="39">
        <f t="shared" si="7"/>
        <v>1.001489148998209</v>
      </c>
      <c r="H33" s="39">
        <f t="shared" si="7"/>
        <v>1.0003171434216136</v>
      </c>
      <c r="I33" s="39">
        <f t="shared" si="7"/>
        <v>1.000114343331445</v>
      </c>
      <c r="J33" s="39" t="str">
        <f t="shared" si="7"/>
        <v/>
      </c>
      <c r="K33" s="39" t="str">
        <f t="shared" si="8"/>
        <v/>
      </c>
      <c r="L33" s="39"/>
      <c r="M33" s="2"/>
    </row>
    <row r="34" spans="1:25" x14ac:dyDescent="0.2">
      <c r="A34" t="str">
        <f t="shared" si="5"/>
        <v>2015</v>
      </c>
      <c r="B34" s="25"/>
      <c r="C34" s="39">
        <f t="shared" si="7"/>
        <v>1.1144402125871684</v>
      </c>
      <c r="D34" s="39">
        <f t="shared" si="7"/>
        <v>1.0210635578905107</v>
      </c>
      <c r="E34" s="39">
        <f t="shared" si="7"/>
        <v>1.0022393677981787</v>
      </c>
      <c r="F34" s="39">
        <f t="shared" si="7"/>
        <v>1.001564533414989</v>
      </c>
      <c r="G34" s="39">
        <f t="shared" si="7"/>
        <v>0.99930255332362006</v>
      </c>
      <c r="H34" s="39">
        <f t="shared" si="7"/>
        <v>1.0004445740454804</v>
      </c>
      <c r="I34" s="39" t="str">
        <f t="shared" si="7"/>
        <v/>
      </c>
      <c r="J34" s="39" t="str">
        <f t="shared" si="7"/>
        <v/>
      </c>
      <c r="K34" s="39" t="str">
        <f t="shared" si="8"/>
        <v/>
      </c>
      <c r="L34" s="39"/>
      <c r="M34" s="2"/>
    </row>
    <row r="35" spans="1:25" x14ac:dyDescent="0.2">
      <c r="A35" t="str">
        <f t="shared" si="5"/>
        <v>2016</v>
      </c>
      <c r="B35" s="25"/>
      <c r="C35" s="39">
        <f t="shared" si="7"/>
        <v>1.1165005661604683</v>
      </c>
      <c r="D35" s="39">
        <f t="shared" si="7"/>
        <v>1.0111091131410488</v>
      </c>
      <c r="E35" s="39">
        <f t="shared" si="7"/>
        <v>1.0030517625885207</v>
      </c>
      <c r="F35" s="39">
        <f t="shared" si="7"/>
        <v>1.0012996131301706</v>
      </c>
      <c r="G35" s="39">
        <f t="shared" si="7"/>
        <v>1.0006232879501795</v>
      </c>
      <c r="H35" s="39" t="str">
        <f t="shared" si="7"/>
        <v/>
      </c>
      <c r="I35" s="39" t="str">
        <f t="shared" si="7"/>
        <v/>
      </c>
      <c r="J35" s="39" t="str">
        <f t="shared" si="7"/>
        <v/>
      </c>
      <c r="K35" s="39" t="str">
        <f t="shared" si="8"/>
        <v/>
      </c>
      <c r="L35" s="39"/>
      <c r="M35" s="2"/>
      <c r="Q35" s="19"/>
      <c r="R35" s="19"/>
      <c r="S35" s="19"/>
      <c r="T35" s="19"/>
      <c r="U35" s="19"/>
      <c r="V35" s="19"/>
      <c r="W35" s="19"/>
      <c r="X35" s="19"/>
      <c r="Y35" s="19"/>
    </row>
    <row r="36" spans="1:25" x14ac:dyDescent="0.2">
      <c r="A36" t="str">
        <f t="shared" si="5"/>
        <v>2017</v>
      </c>
      <c r="B36" s="25"/>
      <c r="C36" s="39">
        <f t="shared" si="7"/>
        <v>1.1902556494054088</v>
      </c>
      <c r="D36" s="39">
        <f t="shared" si="7"/>
        <v>1.0315452871507702</v>
      </c>
      <c r="E36" s="39">
        <f t="shared" si="7"/>
        <v>1.0070323901311473</v>
      </c>
      <c r="F36" s="39">
        <f t="shared" si="7"/>
        <v>1.0040411605084762</v>
      </c>
      <c r="G36" s="39" t="str">
        <f t="shared" si="7"/>
        <v/>
      </c>
      <c r="H36" s="39" t="str">
        <f t="shared" si="7"/>
        <v/>
      </c>
      <c r="I36" s="39" t="str">
        <f t="shared" si="7"/>
        <v/>
      </c>
      <c r="J36" s="39" t="str">
        <f t="shared" si="7"/>
        <v/>
      </c>
      <c r="K36" s="39" t="str">
        <f t="shared" si="8"/>
        <v/>
      </c>
      <c r="L36" s="39"/>
      <c r="M36" s="2"/>
      <c r="Q36" s="19"/>
      <c r="R36" s="19"/>
      <c r="S36" s="19"/>
      <c r="T36" s="19"/>
      <c r="U36" s="19"/>
      <c r="V36" s="19"/>
      <c r="W36" s="19"/>
      <c r="X36" s="19"/>
      <c r="Y36" s="19"/>
    </row>
    <row r="37" spans="1:25" x14ac:dyDescent="0.2">
      <c r="A37" t="str">
        <f t="shared" si="5"/>
        <v>2018</v>
      </c>
      <c r="B37" s="25"/>
      <c r="C37" s="39">
        <f t="shared" si="7"/>
        <v>1.1699142091152814</v>
      </c>
      <c r="D37" s="39">
        <f t="shared" si="7"/>
        <v>1.011604618014657</v>
      </c>
      <c r="E37" s="39">
        <f t="shared" si="7"/>
        <v>1.002283425682196</v>
      </c>
      <c r="F37" s="39" t="str">
        <f t="shared" si="7"/>
        <v/>
      </c>
      <c r="G37" s="39" t="str">
        <f t="shared" si="7"/>
        <v/>
      </c>
      <c r="H37" s="39" t="str">
        <f t="shared" si="7"/>
        <v/>
      </c>
      <c r="I37" s="39" t="str">
        <f t="shared" si="7"/>
        <v/>
      </c>
      <c r="J37" s="39" t="str">
        <f t="shared" si="7"/>
        <v/>
      </c>
      <c r="K37" s="39" t="str">
        <f t="shared" si="8"/>
        <v/>
      </c>
      <c r="L37" s="39"/>
      <c r="M37" s="2"/>
      <c r="Q37" s="19"/>
      <c r="R37" s="19"/>
      <c r="S37" s="19"/>
      <c r="T37" s="19"/>
      <c r="U37" s="19"/>
      <c r="V37" s="19"/>
      <c r="W37" s="19"/>
      <c r="X37" s="19"/>
      <c r="Y37" s="19"/>
    </row>
    <row r="38" spans="1:25" x14ac:dyDescent="0.2">
      <c r="A38" t="str">
        <f t="shared" si="5"/>
        <v>2019</v>
      </c>
      <c r="B38" s="25"/>
      <c r="C38" s="39">
        <f t="shared" si="7"/>
        <v>1.123934606518199</v>
      </c>
      <c r="D38" s="39">
        <f t="shared" si="7"/>
        <v>1.0174685910342536</v>
      </c>
      <c r="E38" s="39" t="str">
        <f t="shared" si="7"/>
        <v/>
      </c>
      <c r="F38" s="39" t="str">
        <f t="shared" si="7"/>
        <v/>
      </c>
      <c r="G38" s="39" t="str">
        <f t="shared" si="7"/>
        <v/>
      </c>
      <c r="H38" s="39" t="str">
        <f t="shared" si="7"/>
        <v/>
      </c>
      <c r="I38" s="39" t="str">
        <f t="shared" si="7"/>
        <v/>
      </c>
      <c r="J38" s="39" t="str">
        <f t="shared" si="7"/>
        <v/>
      </c>
      <c r="K38" s="39" t="str">
        <f t="shared" si="8"/>
        <v/>
      </c>
      <c r="L38" s="39"/>
      <c r="M38" s="2"/>
      <c r="Q38" s="19"/>
      <c r="R38" s="19"/>
      <c r="S38" s="19"/>
      <c r="T38" s="19"/>
      <c r="U38" s="19"/>
      <c r="V38" s="19"/>
      <c r="W38" s="19"/>
      <c r="X38" s="19"/>
      <c r="Y38" s="19"/>
    </row>
    <row r="39" spans="1:25" x14ac:dyDescent="0.2">
      <c r="A39" t="str">
        <f t="shared" si="5"/>
        <v>2020</v>
      </c>
      <c r="B39" s="25"/>
      <c r="C39" s="39">
        <f>IF(ISNUMBER(D22),D22/C22,"")</f>
        <v>1.1537770209545433</v>
      </c>
      <c r="D39" s="39" t="str">
        <f t="shared" si="7"/>
        <v/>
      </c>
      <c r="E39" s="39" t="str">
        <f t="shared" si="7"/>
        <v/>
      </c>
      <c r="F39" s="39" t="str">
        <f t="shared" si="7"/>
        <v/>
      </c>
      <c r="G39" s="39" t="str">
        <f t="shared" si="7"/>
        <v/>
      </c>
      <c r="H39" s="39" t="str">
        <f t="shared" si="7"/>
        <v/>
      </c>
      <c r="I39" s="39" t="str">
        <f t="shared" si="7"/>
        <v/>
      </c>
      <c r="J39" s="39" t="str">
        <f t="shared" si="7"/>
        <v/>
      </c>
      <c r="K39" s="39" t="str">
        <f t="shared" si="8"/>
        <v/>
      </c>
      <c r="L39" s="39"/>
      <c r="M39" s="2"/>
      <c r="Q39" s="19"/>
      <c r="R39" s="19"/>
      <c r="S39" s="19"/>
      <c r="T39" s="19"/>
      <c r="U39" s="19"/>
      <c r="V39" s="19"/>
      <c r="W39" s="19"/>
      <c r="X39" s="19"/>
      <c r="Y39" s="19"/>
    </row>
    <row r="40" spans="1:25" x14ac:dyDescent="0.2">
      <c r="A40" s="9"/>
      <c r="B40" s="26"/>
      <c r="C40" s="40"/>
      <c r="D40" s="40"/>
      <c r="E40" s="40"/>
      <c r="F40" s="40"/>
      <c r="G40" s="40"/>
      <c r="H40" s="40"/>
      <c r="I40" s="40"/>
      <c r="J40" s="40"/>
      <c r="K40" s="40"/>
      <c r="M40" s="2"/>
      <c r="Q40" s="19"/>
      <c r="R40" s="19"/>
      <c r="S40" s="19"/>
      <c r="T40" s="19"/>
      <c r="U40" s="19"/>
      <c r="V40" s="19"/>
      <c r="W40" s="19"/>
      <c r="X40" s="19"/>
      <c r="Y40" s="19"/>
    </row>
    <row r="41" spans="1:25" x14ac:dyDescent="0.2">
      <c r="C41" s="19"/>
      <c r="M41" s="2"/>
      <c r="Q41" s="19"/>
      <c r="R41" s="19"/>
      <c r="S41" s="19"/>
      <c r="T41" s="19"/>
      <c r="U41" s="19"/>
      <c r="V41" s="19"/>
      <c r="W41" s="19"/>
      <c r="X41" s="19"/>
      <c r="Y41" s="19"/>
    </row>
    <row r="42" spans="1:25" x14ac:dyDescent="0.2">
      <c r="A42" t="s">
        <v>71</v>
      </c>
      <c r="B42" s="25"/>
      <c r="C42" s="41">
        <f>AVERAGE(C31:C39)</f>
        <v>1.1537571453813054</v>
      </c>
      <c r="D42" s="41">
        <f t="shared" ref="D42:J42" si="9">AVERAGE(D31:D39)</f>
        <v>1.0457502353014632</v>
      </c>
      <c r="E42" s="41">
        <f t="shared" si="9"/>
        <v>1.0076046685063087</v>
      </c>
      <c r="F42" s="41">
        <f t="shared" si="9"/>
        <v>1.0025809440180025</v>
      </c>
      <c r="G42" s="41">
        <f t="shared" si="9"/>
        <v>1.000613020289459</v>
      </c>
      <c r="H42" s="41">
        <f t="shared" si="9"/>
        <v>1.0002942404479542</v>
      </c>
      <c r="I42" s="41">
        <f t="shared" si="9"/>
        <v>1.0002399538775262</v>
      </c>
      <c r="J42" s="41">
        <f t="shared" si="9"/>
        <v>0.99997238040811443</v>
      </c>
      <c r="K42" s="43">
        <v>1</v>
      </c>
      <c r="M42" s="2"/>
      <c r="Q42" s="19"/>
      <c r="R42" s="19"/>
      <c r="S42" s="19"/>
      <c r="T42" s="19"/>
      <c r="U42" s="19"/>
      <c r="V42" s="19"/>
      <c r="W42" s="19"/>
      <c r="X42" s="19"/>
      <c r="Y42" s="19"/>
    </row>
    <row r="43" spans="1:25" x14ac:dyDescent="0.2">
      <c r="A43" t="s">
        <v>72</v>
      </c>
      <c r="B43" s="25"/>
      <c r="C43" s="41">
        <f>AVERAGE(C35:C39)</f>
        <v>1.15087641043078</v>
      </c>
      <c r="D43" s="41">
        <f>AVERAGE(D34:D38)</f>
        <v>1.0185582334462482</v>
      </c>
      <c r="E43" s="41">
        <f>AVERAGE(E33:E37)</f>
        <v>1.0045905259767831</v>
      </c>
      <c r="F43" s="41">
        <f>AVERAGE(F32:F36)</f>
        <v>1.0024090184337566</v>
      </c>
      <c r="G43" s="41">
        <f>AVERAGE(G31:G35)</f>
        <v>1.000613020289459</v>
      </c>
      <c r="H43" s="41">
        <f>AVERAGE(H31:H34)</f>
        <v>1.0002942404479542</v>
      </c>
      <c r="I43" s="41">
        <f>AVERAGE(I31:I33)</f>
        <v>1.0002399538775262</v>
      </c>
      <c r="J43" s="41">
        <f>AVERAGE(J31:J32)</f>
        <v>0.99997238040811443</v>
      </c>
      <c r="M43" s="2"/>
      <c r="Q43" s="19"/>
      <c r="R43" s="19"/>
      <c r="S43" s="19"/>
      <c r="T43" s="19"/>
      <c r="U43" s="19"/>
      <c r="V43" s="19"/>
      <c r="W43" s="19"/>
      <c r="X43" s="19"/>
      <c r="Y43" s="19"/>
    </row>
    <row r="44" spans="1:25" x14ac:dyDescent="0.2">
      <c r="A44" t="s">
        <v>265</v>
      </c>
      <c r="C44" s="119">
        <v>1.1486443668446169</v>
      </c>
      <c r="D44" s="119">
        <v>1.0473529803827892</v>
      </c>
      <c r="E44" s="119">
        <v>1.0111074711240908</v>
      </c>
      <c r="F44" s="119">
        <v>1.0046727622733442</v>
      </c>
      <c r="G44" s="119">
        <v>1.0013308139872046</v>
      </c>
      <c r="H44" s="119">
        <v>1.0002921383093444</v>
      </c>
      <c r="I44" s="119">
        <v>1.000202195384271</v>
      </c>
      <c r="J44" s="119">
        <v>1.0000702389526288</v>
      </c>
      <c r="K44" s="119">
        <v>1</v>
      </c>
      <c r="L44" s="119"/>
      <c r="M44" s="2"/>
      <c r="Q44" s="19"/>
      <c r="R44" s="19"/>
      <c r="S44" s="19"/>
      <c r="T44" s="19"/>
      <c r="U44" s="19"/>
      <c r="V44" s="19"/>
      <c r="W44" s="19"/>
      <c r="X44" s="19"/>
      <c r="Y44" s="19"/>
    </row>
    <row r="45" spans="1:25" x14ac:dyDescent="0.2">
      <c r="A45" t="s">
        <v>73</v>
      </c>
      <c r="C45" s="42">
        <f>AVERAGE(C42,C44)</f>
        <v>1.1512007561129611</v>
      </c>
      <c r="D45" s="42">
        <f t="shared" ref="D45:J45" si="10">AVERAGE(D42,D44)</f>
        <v>1.0465516078421262</v>
      </c>
      <c r="E45" s="42">
        <f t="shared" si="10"/>
        <v>1.0093560698151998</v>
      </c>
      <c r="F45" s="42">
        <f t="shared" si="10"/>
        <v>1.0036268531456733</v>
      </c>
      <c r="G45" s="42">
        <f t="shared" si="10"/>
        <v>1.0009719171383318</v>
      </c>
      <c r="H45" s="42">
        <f t="shared" si="10"/>
        <v>1.0002931893786493</v>
      </c>
      <c r="I45" s="42">
        <f t="shared" si="10"/>
        <v>1.0002210746308986</v>
      </c>
      <c r="J45" s="42">
        <f t="shared" si="10"/>
        <v>1.0000213096803716</v>
      </c>
      <c r="K45" s="42">
        <f>AVERAGE(K42,K44)</f>
        <v>1</v>
      </c>
      <c r="L45" s="42"/>
      <c r="M45" s="2"/>
      <c r="Q45" s="19"/>
      <c r="R45" s="19"/>
      <c r="S45" s="19"/>
      <c r="T45" s="19"/>
      <c r="U45" s="19"/>
      <c r="V45" s="19"/>
      <c r="W45" s="19"/>
      <c r="X45" s="19"/>
      <c r="Y45" s="19"/>
    </row>
    <row r="46" spans="1:25" x14ac:dyDescent="0.2">
      <c r="A46" t="s">
        <v>331</v>
      </c>
      <c r="C46" s="36">
        <f t="shared" ref="C46:J46" si="11">ROUND(C45*D46,3)</f>
        <v>1.2210000000000001</v>
      </c>
      <c r="D46" s="36">
        <f t="shared" si="11"/>
        <v>1.0609999999999999</v>
      </c>
      <c r="E46" s="36">
        <f t="shared" si="11"/>
        <v>1.014</v>
      </c>
      <c r="F46" s="36">
        <f t="shared" si="11"/>
        <v>1.0049999999999999</v>
      </c>
      <c r="G46" s="36">
        <f t="shared" si="11"/>
        <v>1.0009999999999999</v>
      </c>
      <c r="H46" s="36">
        <f t="shared" si="11"/>
        <v>1</v>
      </c>
      <c r="I46" s="36">
        <f t="shared" si="11"/>
        <v>1</v>
      </c>
      <c r="J46" s="36">
        <f t="shared" si="11"/>
        <v>1</v>
      </c>
      <c r="K46" s="36">
        <v>1</v>
      </c>
      <c r="M46" s="2"/>
      <c r="Q46" s="19"/>
      <c r="R46" s="19"/>
      <c r="S46" s="19"/>
      <c r="T46" s="19"/>
      <c r="U46" s="19"/>
      <c r="V46" s="19"/>
      <c r="W46" s="19"/>
      <c r="X46" s="19"/>
      <c r="Y46" s="19"/>
    </row>
    <row r="47" spans="1:25" ht="10.5" thickBo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M47" s="2"/>
    </row>
    <row r="48" spans="1:25" ht="10.5" thickTop="1" x14ac:dyDescent="0.2">
      <c r="A48" t="s">
        <v>17</v>
      </c>
      <c r="M48" s="2"/>
    </row>
    <row r="49" spans="1:13" x14ac:dyDescent="0.2">
      <c r="B49" s="22" t="str">
        <f>"Provided by TICO.  Accident years ending "&amp;TEXT($N$23,"m/d/xx")</f>
        <v>Provided by TICO.  Accident years ending 9/30/xx</v>
      </c>
      <c r="M49" s="2"/>
    </row>
    <row r="50" spans="1:13" ht="10.5" thickBot="1" x14ac:dyDescent="0.25">
      <c r="M50" s="2"/>
    </row>
    <row r="51" spans="1:13" ht="10.5" thickBot="1" x14ac:dyDescent="0.25">
      <c r="A51" s="4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3"/>
    </row>
  </sheetData>
  <pageMargins left="0.5" right="0.5" top="0.5" bottom="0.5" header="0.5" footer="0.5"/>
  <pageSetup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05997-B5B2-4662-9320-B70C2A511345}">
  <sheetPr>
    <tabColor rgb="FF92D050"/>
    <pageSetUpPr fitToPage="1"/>
  </sheetPr>
  <dimension ref="A1:J60"/>
  <sheetViews>
    <sheetView showGridLines="0" topLeftCell="A53" zoomScaleNormal="100" workbookViewId="0">
      <selection activeCell="D18" sqref="D18"/>
    </sheetView>
  </sheetViews>
  <sheetFormatPr defaultRowHeight="10" x14ac:dyDescent="0.2"/>
  <cols>
    <col min="1" max="1" width="15.88671875" customWidth="1"/>
    <col min="2" max="2" width="66.44140625" bestFit="1" customWidth="1"/>
    <col min="3" max="3" width="1.77734375" customWidth="1"/>
    <col min="4" max="4" width="50.109375" customWidth="1"/>
    <col min="5" max="5" width="1.77734375" customWidth="1"/>
    <col min="6" max="6" width="8.77734375" bestFit="1" customWidth="1"/>
    <col min="7" max="7" width="0.33203125" customWidth="1"/>
    <col min="8" max="8" width="8.33203125" bestFit="1" customWidth="1"/>
    <col min="9" max="9" width="1.6640625" customWidth="1"/>
    <col min="10" max="10" width="15.6640625" style="25" bestFit="1" customWidth="1"/>
  </cols>
  <sheetData>
    <row r="1" spans="1:10" ht="10.5" x14ac:dyDescent="0.25">
      <c r="A1" s="8" t="s">
        <v>0</v>
      </c>
    </row>
    <row r="2" spans="1:10" ht="10.5" x14ac:dyDescent="0.25">
      <c r="A2" s="8" t="s">
        <v>1</v>
      </c>
    </row>
    <row r="3" spans="1:10" ht="10.5" x14ac:dyDescent="0.25">
      <c r="A3" s="8" t="s">
        <v>2</v>
      </c>
    </row>
    <row r="4" spans="1:10" ht="10.5" hidden="1" x14ac:dyDescent="0.25">
      <c r="B4" s="8"/>
    </row>
    <row r="5" spans="1:10" ht="10.5" x14ac:dyDescent="0.25">
      <c r="A5" s="367" t="s">
        <v>390</v>
      </c>
      <c r="B5" s="367"/>
      <c r="C5" s="367"/>
      <c r="D5" s="367"/>
      <c r="E5" s="367"/>
      <c r="F5" s="367"/>
      <c r="G5" s="367"/>
      <c r="H5" s="367"/>
      <c r="I5" s="366"/>
      <c r="J5" s="366"/>
    </row>
    <row r="6" spans="1:10" ht="10.5" hidden="1" x14ac:dyDescent="0.25">
      <c r="B6" s="8"/>
    </row>
    <row r="8" spans="1:10" ht="10.5" x14ac:dyDescent="0.25">
      <c r="A8" s="304" t="s">
        <v>395</v>
      </c>
      <c r="B8" s="303" t="s">
        <v>391</v>
      </c>
      <c r="D8" s="303" t="s">
        <v>392</v>
      </c>
      <c r="F8" s="303" t="s">
        <v>393</v>
      </c>
      <c r="G8" s="8"/>
      <c r="H8" s="303" t="s">
        <v>394</v>
      </c>
      <c r="I8" s="8"/>
    </row>
    <row r="9" spans="1:10" x14ac:dyDescent="0.2">
      <c r="A9" s="25">
        <v>1</v>
      </c>
      <c r="B9" t="s">
        <v>3</v>
      </c>
      <c r="D9" t="str">
        <f>'1'!$A$5</f>
        <v>By Method for Projecting Hurricane Loss &amp; LAE</v>
      </c>
      <c r="F9" t="str">
        <f>'[1]1'!$K$1</f>
        <v>Exhibit 1</v>
      </c>
      <c r="H9" s="305"/>
      <c r="I9" s="305"/>
    </row>
    <row r="10" spans="1:10" x14ac:dyDescent="0.2">
      <c r="A10" s="25">
        <v>2.1</v>
      </c>
      <c r="B10" t="str">
        <f>'2.1'!$A$4</f>
        <v>Projected Ultimate Non-Hurricane Loss &amp; LAE Ratio</v>
      </c>
      <c r="D10" t="str">
        <f>'2.1'!$A$5</f>
        <v>All Territory Weighted Average</v>
      </c>
      <c r="F10" t="str">
        <f>'[1]2.1'!$J$1</f>
        <v>Exhibit 2</v>
      </c>
      <c r="H10" t="str">
        <f>'[1]2.1'!$J$2</f>
        <v>Sheet 1</v>
      </c>
    </row>
    <row r="11" spans="1:10" x14ac:dyDescent="0.2">
      <c r="A11" s="25" t="s">
        <v>396</v>
      </c>
      <c r="B11" t="str">
        <f>'2.2a'!$A$4</f>
        <v>Projected Ultimate Non-Hurricane Loss &amp; LAE Ratio based on TWIA experience</v>
      </c>
      <c r="D11" t="str">
        <f>'2.2a'!$A$5</f>
        <v>Tier 1 -- Territory 8 (Galveston County)</v>
      </c>
      <c r="F11" t="str">
        <f>'[1]2.2a'!$J$1</f>
        <v>Exhibit 2</v>
      </c>
      <c r="H11" t="str">
        <f>'[1]2.2a'!$J$2</f>
        <v>Sheet 2a</v>
      </c>
    </row>
    <row r="12" spans="1:10" x14ac:dyDescent="0.2">
      <c r="A12" s="25" t="s">
        <v>397</v>
      </c>
      <c r="B12" t="str">
        <f>'2.2b'!$A$4</f>
        <v>Projected Ultimate Non-Hurricane Loss &amp; LAE Ratio based on TWIA experience</v>
      </c>
      <c r="D12" t="str">
        <f>'2.2b'!$A$5</f>
        <v>Tier 1 -- Territory 9 (Nueces County)</v>
      </c>
      <c r="F12" t="str">
        <f>'[1]2.2b'!$J$1</f>
        <v>Exhibit 2</v>
      </c>
      <c r="H12" t="str">
        <f>'[1]2.2b'!$J$2</f>
        <v>Sheet 2b</v>
      </c>
    </row>
    <row r="13" spans="1:10" x14ac:dyDescent="0.2">
      <c r="A13" s="25" t="s">
        <v>398</v>
      </c>
      <c r="B13" t="str">
        <f>'2.2c'!$A$4</f>
        <v>Projected Ultimate Non-Hurricane Loss &amp; LAE Ratio based on TWIA experience</v>
      </c>
      <c r="D13" t="str">
        <f>'2.2c'!$A$5</f>
        <v>Tier 1 -- Territory 10 (Other Tier 1)</v>
      </c>
      <c r="F13" t="str">
        <f>'[1]2.2c'!$J$1</f>
        <v>Exhibit 2</v>
      </c>
      <c r="H13" t="str">
        <f>'[1]2.2c'!$J$2</f>
        <v>Sheet 2c</v>
      </c>
    </row>
    <row r="14" spans="1:10" x14ac:dyDescent="0.2">
      <c r="A14" s="25" t="s">
        <v>399</v>
      </c>
      <c r="B14" t="str">
        <f>'2.2d'!$A$4</f>
        <v>Projected Ultimate Non-Hurricane Loss &amp; LAE Ratio based on TWIA experience</v>
      </c>
      <c r="D14" t="str">
        <f>'2.2d'!$A$5</f>
        <v>Tier 2 -- (Territories 1)</v>
      </c>
      <c r="F14" t="str">
        <f>'[1]2.2d'!$J$1</f>
        <v>Exhibit 2</v>
      </c>
      <c r="H14" t="str">
        <f>'[1]2.2d'!$J$2</f>
        <v>Sheet 2d</v>
      </c>
    </row>
    <row r="15" spans="1:10" x14ac:dyDescent="0.2">
      <c r="A15" s="25" t="s">
        <v>400</v>
      </c>
      <c r="B15" t="str">
        <f>'2.3a'!$A$4</f>
        <v>Projected Ultimate Non-Hurricane Loss</v>
      </c>
      <c r="D15" t="str">
        <f>'2.3a'!$A$5</f>
        <v>Tier 1 -- Territory 8 (Galveston County)</v>
      </c>
      <c r="F15" t="str">
        <f>'[1]2.3a'!$J$1</f>
        <v>Exhibit 2</v>
      </c>
      <c r="H15" t="str">
        <f>'[1]2.3a'!$J$2</f>
        <v>Sheet 3a</v>
      </c>
    </row>
    <row r="16" spans="1:10" x14ac:dyDescent="0.2">
      <c r="A16" s="25" t="s">
        <v>401</v>
      </c>
      <c r="B16" t="str">
        <f>'2.3b'!$A$4</f>
        <v>Projected Ultimate Non-Hurricane Loss</v>
      </c>
      <c r="D16" t="str">
        <f>'2.3b'!$A$5</f>
        <v>Tier 1 -- Territory 9 (Nueces County)</v>
      </c>
      <c r="F16" t="str">
        <f>'[1]2.3b'!$J$1</f>
        <v>Exhibit 2</v>
      </c>
      <c r="H16" t="str">
        <f>'[1]2.3b'!$J$2</f>
        <v>Sheet 3b</v>
      </c>
    </row>
    <row r="17" spans="1:8" x14ac:dyDescent="0.2">
      <c r="A17" s="25" t="s">
        <v>402</v>
      </c>
      <c r="B17" t="str">
        <f>'2.3c'!$A$4</f>
        <v>Projected Ultimate Non-Hurricane Loss</v>
      </c>
      <c r="D17" t="str">
        <f>'2.3c'!$A$5</f>
        <v>Tier 1 -- Territory 10 (Other Tier 1)</v>
      </c>
      <c r="F17" t="str">
        <f>'[1]2.3c'!$J$1</f>
        <v>Exhibit 2</v>
      </c>
      <c r="H17" t="str">
        <f>'[1]2.3c'!$J$2</f>
        <v>Sheet 3c</v>
      </c>
    </row>
    <row r="18" spans="1:8" x14ac:dyDescent="0.2">
      <c r="A18" s="25" t="s">
        <v>403</v>
      </c>
      <c r="B18" t="str">
        <f>'2.3d'!$A$4</f>
        <v>Projected Ultimate Non-Hurricane Loss</v>
      </c>
      <c r="D18" t="str">
        <f>'2.3d'!$A$5</f>
        <v>Tier 2 -- (Territories 1)</v>
      </c>
      <c r="F18" t="str">
        <f>'[1]2.3d'!$J$1</f>
        <v>Exhibit 2</v>
      </c>
      <c r="H18" t="str">
        <f>'[1]2.3d'!$J$2</f>
        <v>Sheet 3d</v>
      </c>
    </row>
    <row r="19" spans="1:8" x14ac:dyDescent="0.2">
      <c r="A19" s="25" t="s">
        <v>404</v>
      </c>
      <c r="B19" t="str">
        <f>'2.4a'!A4</f>
        <v>Summary of TWIA Historical Paid Loss as of 12/31/21</v>
      </c>
      <c r="D19" t="str">
        <f>'2.4a'!$A$5</f>
        <v>Tier 1 -- Territory 8 (Galveston County)</v>
      </c>
      <c r="F19" t="str">
        <f>'[1]2.4a'!$J$1</f>
        <v>Exhibit 2</v>
      </c>
      <c r="H19" t="str">
        <f>'[1]2.4a'!$J$2</f>
        <v>Sheet 4a</v>
      </c>
    </row>
    <row r="20" spans="1:8" x14ac:dyDescent="0.2">
      <c r="A20" s="25" t="s">
        <v>405</v>
      </c>
      <c r="B20" t="str">
        <f>'2.4b'!A4</f>
        <v>Summary of TWIA Historical Paid Loss as of 12/31/21</v>
      </c>
      <c r="D20" t="str">
        <f>'2.4b'!$A$5</f>
        <v>Tier 1 -- Territory 9 (Nueces County)</v>
      </c>
      <c r="F20" t="str">
        <f>'[1]2.4b'!$J$1</f>
        <v>Exhibit 2</v>
      </c>
      <c r="H20" t="str">
        <f>'[1]2.4b'!$J$2</f>
        <v>Sheet 4b</v>
      </c>
    </row>
    <row r="21" spans="1:8" x14ac:dyDescent="0.2">
      <c r="A21" s="25" t="s">
        <v>406</v>
      </c>
      <c r="B21" t="str">
        <f>'2.4c'!A4</f>
        <v>Summary of TWIA Historical Paid Loss as of 12/31/21</v>
      </c>
      <c r="D21" t="str">
        <f>'2.4c'!$A$5</f>
        <v>Tier 1 -- Territory 10 (Other Tier 1)</v>
      </c>
      <c r="F21" t="str">
        <f>'[1]2.4c'!$J$1</f>
        <v>Exhibit 2</v>
      </c>
      <c r="H21" t="str">
        <f>'[1]2.4c'!$J$2</f>
        <v>Sheet 4c</v>
      </c>
    </row>
    <row r="22" spans="1:8" x14ac:dyDescent="0.2">
      <c r="A22" s="25" t="s">
        <v>407</v>
      </c>
      <c r="B22" t="str">
        <f>'2.4d'!A4</f>
        <v>Summary of TWIA Historical Paid Loss as of 12/31/21</v>
      </c>
      <c r="D22" t="str">
        <f>'2.4d'!$A$5</f>
        <v>Tier 2 -- (Territories 1)</v>
      </c>
      <c r="F22" t="str">
        <f>'[1]2.4d'!$J$1</f>
        <v>Exhibit 2</v>
      </c>
      <c r="H22" t="str">
        <f>'[1]2.4d'!$J$2</f>
        <v>Sheet 4d</v>
      </c>
    </row>
    <row r="23" spans="1:8" x14ac:dyDescent="0.2">
      <c r="A23" s="25" t="s">
        <v>408</v>
      </c>
      <c r="B23" t="str">
        <f>'trend 2.5'!$A$4</f>
        <v>Calculation of Net Trend Factors</v>
      </c>
      <c r="D23" s="283"/>
      <c r="F23" t="str">
        <f>'[1]trend 2.5'!$L$1</f>
        <v>Exhibit 2</v>
      </c>
      <c r="H23" t="str">
        <f>'[1]trend 2.5'!$L$2</f>
        <v>Sheet 5</v>
      </c>
    </row>
    <row r="24" spans="1:8" x14ac:dyDescent="0.2">
      <c r="A24" s="25" t="s">
        <v>409</v>
      </c>
      <c r="B24" t="str">
        <f>'ldf 3.1a'!$A$4</f>
        <v>Paid Loss Development Factors</v>
      </c>
      <c r="D24" t="str">
        <f>'ldf 3.1a'!$A$5</f>
        <v>Statewide Industry Extended Coverage Dwelling Paid Loss</v>
      </c>
      <c r="F24" t="str">
        <f>'[1]ldf 3.1a'!$L$1</f>
        <v>Exhibit 3</v>
      </c>
      <c r="H24" t="str">
        <f>'[1]ldf 3.1a'!$L$2</f>
        <v>Sheet 1</v>
      </c>
    </row>
    <row r="25" spans="1:8" x14ac:dyDescent="0.2">
      <c r="A25" s="25" t="s">
        <v>410</v>
      </c>
      <c r="B25" t="str">
        <f>'ldf 3.1b'!$A$4</f>
        <v>Incurred Loss Development Factors</v>
      </c>
      <c r="D25" t="str">
        <f>'ldf 3.1b'!$A$5</f>
        <v>Statewide Industry Extended Coverage Dwelling Incurred Loss</v>
      </c>
      <c r="F25" t="str">
        <f>'[1]ldf 3.1b'!$L$1</f>
        <v>Exhibit 3</v>
      </c>
      <c r="H25" t="str">
        <f>'[1]ldf 3.1b'!$L$2</f>
        <v>Sheet 1</v>
      </c>
    </row>
    <row r="26" spans="1:8" x14ac:dyDescent="0.2">
      <c r="A26" s="25" t="s">
        <v>411</v>
      </c>
      <c r="B26" t="str">
        <f>'3.2 premium trend'!$A$4</f>
        <v>Premium Trend Analysis</v>
      </c>
      <c r="D26" t="str">
        <f>'3.2 premium trend'!$A$5</f>
        <v>TWIA Residential Earned Premium at Present Rates</v>
      </c>
      <c r="F26" t="str">
        <f>'3.2 premium trend'!L1</f>
        <v>Exhibit 3</v>
      </c>
      <c r="H26" t="str">
        <f>'3.2 premium trend'!L2</f>
        <v>Sheet 2</v>
      </c>
    </row>
    <row r="27" spans="1:8" x14ac:dyDescent="0.2">
      <c r="A27" s="25" t="s">
        <v>412</v>
      </c>
      <c r="B27" t="str">
        <f>'3.3a'!$A$4</f>
        <v>Loss Trend Analysis</v>
      </c>
      <c r="D27" t="str">
        <f>'3.3a'!$A$5</f>
        <v>Summary of Indices and Calculation of Prospective Loss Costs</v>
      </c>
      <c r="F27" t="str">
        <f>'[1]3.3a'!$L$1</f>
        <v>Exhibit 3</v>
      </c>
      <c r="H27" t="str">
        <f>'[1]3.3a'!$L$2</f>
        <v>Sheet 3a</v>
      </c>
    </row>
    <row r="28" spans="1:8" x14ac:dyDescent="0.2">
      <c r="A28" s="25" t="s">
        <v>413</v>
      </c>
      <c r="B28" t="str">
        <f>'3.3b'!$A$4</f>
        <v>Loss Trend Analysis</v>
      </c>
      <c r="D28" t="str">
        <f>'3.3b'!$A$5</f>
        <v>Boeckh Residential Construction Index Trend (Statewide)</v>
      </c>
      <c r="F28" t="str">
        <f>'[1]3.3b'!$L$1</f>
        <v>Exhibit 3</v>
      </c>
      <c r="H28" t="str">
        <f>'[1]3.3b'!$L$2</f>
        <v>Sheet 3b</v>
      </c>
    </row>
    <row r="29" spans="1:8" x14ac:dyDescent="0.2">
      <c r="A29" s="25" t="s">
        <v>414</v>
      </c>
      <c r="B29" t="str">
        <f>'3.3c'!$A$4</f>
        <v>Loss Trend Analysis</v>
      </c>
      <c r="D29" t="str">
        <f>'3.3c'!$A$5</f>
        <v>Boeckh Residential Construction Index Trend (Coastal)</v>
      </c>
      <c r="F29" t="str">
        <f>'[1]3.3c'!$L$1</f>
        <v>Exhibit 3</v>
      </c>
      <c r="H29" t="str">
        <f>'[1]3.3c'!$L$2</f>
        <v>Sheet 3c</v>
      </c>
    </row>
    <row r="30" spans="1:8" x14ac:dyDescent="0.2">
      <c r="A30" s="25" t="s">
        <v>415</v>
      </c>
      <c r="B30" t="str">
        <f>'3.3d'!$A$4</f>
        <v>Loss Trend Analysis</v>
      </c>
      <c r="D30" t="str">
        <f>'3.3d'!$A$5</f>
        <v>Modified Consumer Price Index - External Trend</v>
      </c>
      <c r="F30" t="str">
        <f>'[1]3.3d'!$L$1</f>
        <v>Exhibit 3</v>
      </c>
      <c r="H30" t="str">
        <f>'[1]3.3d'!$L$2</f>
        <v>Sheet 3d</v>
      </c>
    </row>
    <row r="31" spans="1:8" x14ac:dyDescent="0.2">
      <c r="A31" s="25">
        <v>4.0999999999999996</v>
      </c>
      <c r="B31" t="str">
        <f>'4.1'!$A$4</f>
        <v>Development of LAE factor Using TWIA Commercial + Residential Experience</v>
      </c>
      <c r="D31" s="305"/>
      <c r="F31" t="str">
        <f>+'[1]4.1'!J1</f>
        <v>Exhibit 4</v>
      </c>
      <c r="H31" t="str">
        <f>+'[1]4.1'!J2</f>
        <v>Sheet 1</v>
      </c>
    </row>
    <row r="32" spans="1:8" x14ac:dyDescent="0.2">
      <c r="A32" s="25">
        <v>4.2</v>
      </c>
      <c r="B32" t="str">
        <f>'4.2'!$A$4</f>
        <v>Ultimate Loss (TWIA All Lines)</v>
      </c>
      <c r="D32" s="305"/>
      <c r="F32" t="str">
        <f>+'[1]4.2'!K1</f>
        <v>Exhibit 4</v>
      </c>
      <c r="H32" t="str">
        <f>+'[1]4.2'!K2</f>
        <v>Sheet 2</v>
      </c>
    </row>
    <row r="33" spans="1:9" x14ac:dyDescent="0.2">
      <c r="A33" s="25" t="s">
        <v>416</v>
      </c>
      <c r="B33" t="str">
        <f>+'4.3AS loss Dev'!A4</f>
        <v>Incurred Loss Development Factors</v>
      </c>
      <c r="D33" t="str">
        <f>+'4.3AS loss Dev'!A5</f>
        <v>TWIA Schedule P Incurred Loss (Including IBNR)</v>
      </c>
      <c r="F33" t="str">
        <f>+'[1]4.3AS loss Dev'!K1</f>
        <v>Exhibit 4</v>
      </c>
      <c r="H33" t="str">
        <f>+'[1]4.3AS loss Dev'!K2</f>
        <v>Sheet 3</v>
      </c>
    </row>
    <row r="34" spans="1:9" x14ac:dyDescent="0.2">
      <c r="A34" s="25">
        <v>4.4000000000000004</v>
      </c>
      <c r="B34" t="str">
        <f>+'4.4'!A4</f>
        <v>Ultimate LAE (TWIA All Lines)</v>
      </c>
      <c r="D34" s="305"/>
      <c r="F34" t="str">
        <f>+'[1]4.4'!J1</f>
        <v>Exhibit 4</v>
      </c>
      <c r="H34" t="str">
        <f>+'[1]4.4'!J2</f>
        <v>Sheet 4</v>
      </c>
    </row>
    <row r="35" spans="1:9" x14ac:dyDescent="0.2">
      <c r="A35" s="25" t="s">
        <v>417</v>
      </c>
      <c r="B35" t="str">
        <f>+'4.5AS LAE Dev'!A4</f>
        <v>Incurred ALAE Development Factors</v>
      </c>
      <c r="D35" t="str">
        <f>+'4.5AS LAE Dev'!A5</f>
        <v>TWIA Schedule P Incurred ALAE (Including IBNR)</v>
      </c>
      <c r="F35" t="str">
        <f>+'[1]4.5AS LAE Dev'!K1</f>
        <v>Exhibit 4</v>
      </c>
      <c r="H35" t="str">
        <f>+'[1]4.5AS LAE Dev'!K2</f>
        <v>Sheet 5</v>
      </c>
    </row>
    <row r="36" spans="1:9" x14ac:dyDescent="0.2">
      <c r="A36" s="25">
        <v>5</v>
      </c>
      <c r="B36" t="str">
        <f>+'5'!A4</f>
        <v>Summary of Indicated Hurricane Loss &amp; LAE Ratios</v>
      </c>
      <c r="D36" s="305"/>
      <c r="F36" t="str">
        <f>+'[1]5'!H1</f>
        <v>Exhibit 5</v>
      </c>
      <c r="H36" s="305"/>
      <c r="I36" s="305"/>
    </row>
    <row r="37" spans="1:9" x14ac:dyDescent="0.2">
      <c r="A37" s="25">
        <v>6.1</v>
      </c>
      <c r="B37" t="str">
        <f>+'6.1'!A4</f>
        <v>Industry Experience -- Residential Extended Coverage</v>
      </c>
      <c r="D37" t="str">
        <f>'6.1'!A5</f>
        <v>1966 - 2021 -- Hurricane Years Only</v>
      </c>
      <c r="F37" t="str">
        <f>+'[1]6.1'!K1</f>
        <v>Exhibit 6</v>
      </c>
      <c r="H37" t="str">
        <f>+'[1]6.1'!K2</f>
        <v>Sheet 1</v>
      </c>
    </row>
    <row r="38" spans="1:9" x14ac:dyDescent="0.2">
      <c r="A38" s="25">
        <v>6.2</v>
      </c>
      <c r="B38" t="str">
        <f>+'6.2'!A4</f>
        <v>Industry Experience -- Residential Extended Coverage</v>
      </c>
      <c r="D38" t="str">
        <f>'6.2'!A5</f>
        <v>1966 - 2021</v>
      </c>
      <c r="F38" t="str">
        <f>+'[1]6.2'!J1</f>
        <v>Exhibit 6</v>
      </c>
      <c r="H38" t="str">
        <f>+'[1]6.2'!J2</f>
        <v>Sheet 2</v>
      </c>
    </row>
    <row r="39" spans="1:9" x14ac:dyDescent="0.2">
      <c r="A39" s="25">
        <v>6.3</v>
      </c>
      <c r="B39" t="str">
        <f>+'6.3'!A4</f>
        <v>Industry Experience -- Residential Extended Coverage</v>
      </c>
    </row>
    <row r="40" spans="1:9" x14ac:dyDescent="0.2">
      <c r="A40" s="25">
        <v>6.4</v>
      </c>
      <c r="B40" t="str">
        <f>'6.4'!$A$4</f>
        <v>Industry Experience -- Residential Extended Coverage</v>
      </c>
      <c r="D40" t="str">
        <f>+'6.4'!A5</f>
        <v>Tier 1 -- Territory 8 (Galveston County)</v>
      </c>
      <c r="F40" t="str">
        <f>+'[1]6.4'!I1</f>
        <v>Exhibit 6</v>
      </c>
      <c r="H40" t="str">
        <f>+'[1]6.4'!I2</f>
        <v>Sheet 4</v>
      </c>
    </row>
    <row r="41" spans="1:9" x14ac:dyDescent="0.2">
      <c r="A41" s="25">
        <v>6.5</v>
      </c>
      <c r="B41" t="str">
        <f>+'6.5'!A4</f>
        <v>Industry Experience -- Residential Extended Coverage</v>
      </c>
      <c r="D41" t="str">
        <f>+'6.5'!A5</f>
        <v>Tier 1 -- Territory 9 (Nueces County)</v>
      </c>
      <c r="F41" t="str">
        <f>+'[1]6.5'!I1</f>
        <v>Exhibit 6</v>
      </c>
      <c r="H41" t="str">
        <f>+'[1]6.5'!I2</f>
        <v>Sheet 5</v>
      </c>
    </row>
    <row r="42" spans="1:9" x14ac:dyDescent="0.2">
      <c r="A42" s="25">
        <v>6.6</v>
      </c>
      <c r="B42" t="str">
        <f>+'6.5'!A4</f>
        <v>Industry Experience -- Residential Extended Coverage</v>
      </c>
      <c r="D42" t="str">
        <f>+'6.6'!A5</f>
        <v>Tier 1 -- Territory 10 (Other Tier 1)</v>
      </c>
      <c r="F42" t="str">
        <f>+'[1]6.6'!I1</f>
        <v>Exhibit 6</v>
      </c>
      <c r="H42" t="str">
        <f>+'[1]6.6'!I2</f>
        <v>Sheet 6</v>
      </c>
    </row>
    <row r="43" spans="1:9" x14ac:dyDescent="0.2">
      <c r="A43" s="25">
        <v>6.7</v>
      </c>
      <c r="B43" t="str">
        <f>+'6.7'!A4</f>
        <v>Industry Experience -- Residential Extended Coverage</v>
      </c>
      <c r="D43" t="str">
        <f>+'6.7'!A5</f>
        <v>Tier 2 -- (Territories 1 and 11)</v>
      </c>
      <c r="F43" t="str">
        <f>+'[1]6.7'!I1</f>
        <v>Exhibit 6</v>
      </c>
      <c r="H43" t="str">
        <f>+'[1]6.7'!I2</f>
        <v>Sheet 7</v>
      </c>
    </row>
    <row r="44" spans="1:9" x14ac:dyDescent="0.2">
      <c r="A44" s="25">
        <v>7.1</v>
      </c>
      <c r="B44" t="str">
        <f>'7.1'!A4</f>
        <v>Hurricane Loss Ratio -- AIR Model</v>
      </c>
      <c r="F44" t="str">
        <f>+'[1]7.1'!K1</f>
        <v>Exhibit 7</v>
      </c>
      <c r="H44" t="str">
        <f>+'[1]7.1'!K2</f>
        <v>Sheet 1</v>
      </c>
    </row>
    <row r="45" spans="1:9" x14ac:dyDescent="0.2">
      <c r="A45" s="25">
        <v>7.2</v>
      </c>
      <c r="B45" t="str">
        <f>'7.2'!A4</f>
        <v>Hurricane Loss Ratio -- RMS Model</v>
      </c>
      <c r="F45" t="str">
        <f>+'[1]7.2'!K1</f>
        <v>Exhibit 7</v>
      </c>
      <c r="H45" t="str">
        <f>+'[1]7.2'!K2</f>
        <v>Sheet 2</v>
      </c>
    </row>
    <row r="46" spans="1:9" x14ac:dyDescent="0.2">
      <c r="A46" s="25">
        <v>7.3</v>
      </c>
      <c r="B46" t="str">
        <f>'7.3'!A4</f>
        <v>Hurricane Loss Ratio -- Impact Forecasting Model</v>
      </c>
      <c r="F46" t="s">
        <v>298</v>
      </c>
      <c r="H46" t="s">
        <v>88</v>
      </c>
    </row>
    <row r="47" spans="1:9" x14ac:dyDescent="0.2">
      <c r="A47" s="25">
        <v>7.4</v>
      </c>
      <c r="B47" t="str">
        <f>'7.4'!A4</f>
        <v>Hurricane Loss Ratio -- CoreLogic RQE Model</v>
      </c>
      <c r="F47" t="s">
        <v>298</v>
      </c>
      <c r="H47" t="s">
        <v>91</v>
      </c>
    </row>
    <row r="48" spans="1:9" x14ac:dyDescent="0.2">
      <c r="A48" s="25">
        <v>8.1</v>
      </c>
      <c r="B48" t="str">
        <f>'8.1'!A4</f>
        <v>AIR Simulated Hurricane Results</v>
      </c>
      <c r="F48" t="str">
        <f>+'[1]8.1'!K1</f>
        <v>Exhibit 8</v>
      </c>
      <c r="H48" t="str">
        <f>+'[1]8.1'!K2</f>
        <v>Sheet 1</v>
      </c>
    </row>
    <row r="49" spans="1:9" x14ac:dyDescent="0.2">
      <c r="A49" s="25">
        <v>8.1999999999999993</v>
      </c>
      <c r="B49" t="str">
        <f>'8.2'!A4</f>
        <v>RMS Simulated Hurricane Results</v>
      </c>
      <c r="F49" t="str">
        <f>+'[1]8.2'!K1</f>
        <v>Exhibit 8</v>
      </c>
      <c r="H49" t="str">
        <f>+'[1]8.2'!K2</f>
        <v>Sheet 2</v>
      </c>
    </row>
    <row r="50" spans="1:9" x14ac:dyDescent="0.2">
      <c r="A50" s="25">
        <v>8.3000000000000007</v>
      </c>
      <c r="B50" t="str">
        <f>'8.3'!A4</f>
        <v>Impact Forecasting Simulated Hurricane Results</v>
      </c>
      <c r="F50" t="s">
        <v>168</v>
      </c>
      <c r="H50" t="s">
        <v>88</v>
      </c>
    </row>
    <row r="51" spans="1:9" x14ac:dyDescent="0.2">
      <c r="A51" s="25">
        <v>8.4</v>
      </c>
      <c r="B51" t="str">
        <f>'8.4'!A4</f>
        <v>CoreLogic RQE Simulated Hurricane Results</v>
      </c>
      <c r="F51" t="s">
        <v>168</v>
      </c>
      <c r="H51" t="s">
        <v>91</v>
      </c>
    </row>
    <row r="52" spans="1:9" x14ac:dyDescent="0.2">
      <c r="A52" s="25">
        <v>9</v>
      </c>
      <c r="B52" t="str">
        <f>'9'!A4</f>
        <v>Texas Hurricanes 1850 - 2021</v>
      </c>
      <c r="F52" t="str">
        <f>+'[1]9'!J1</f>
        <v>Exhibit 9</v>
      </c>
      <c r="H52" s="305"/>
      <c r="I52" s="305"/>
    </row>
    <row r="53" spans="1:9" x14ac:dyDescent="0.2">
      <c r="A53" s="25" t="s">
        <v>418</v>
      </c>
      <c r="B53" t="str">
        <f>+'10.1a'!A4</f>
        <v>Calculation of TWIA Earned Premium at Present Rate Level</v>
      </c>
      <c r="D53" t="str">
        <f>+'10.1a'!A5</f>
        <v>Tier 1 -- Territory 8 (Galveston County)</v>
      </c>
      <c r="F53" t="str">
        <f>+'[1]10.1a'!J1</f>
        <v>Exhibit 10</v>
      </c>
      <c r="H53" t="str">
        <f>+'[1]10.1a'!J2</f>
        <v>Sheet 1a</v>
      </c>
    </row>
    <row r="54" spans="1:9" x14ac:dyDescent="0.2">
      <c r="A54" s="25" t="s">
        <v>419</v>
      </c>
      <c r="B54" t="str">
        <f>+'10.1b'!A4</f>
        <v>Calculation of TWIA Earned Premium at Present Rate Level</v>
      </c>
      <c r="D54" t="str">
        <f>+'10.1b'!A5</f>
        <v>Tier 1 -- Territory 9 (Nueces County)</v>
      </c>
      <c r="F54" t="str">
        <f>+'[1]10.1b'!J1</f>
        <v>Exhibit 10</v>
      </c>
      <c r="H54" t="str">
        <f>+'[1]10.1b'!J2</f>
        <v>Sheet 1b</v>
      </c>
    </row>
    <row r="55" spans="1:9" x14ac:dyDescent="0.2">
      <c r="A55" s="25" t="s">
        <v>420</v>
      </c>
      <c r="B55" t="str">
        <f>+'10.1c'!A4</f>
        <v>Calculation of TWIA Earned Premium at Present Rate Level</v>
      </c>
      <c r="D55" t="str">
        <f>+'10.1c'!A5</f>
        <v>Tier 1 -- Territory 10 (Other Tier 1)</v>
      </c>
      <c r="F55" t="str">
        <f>+'[1]10.1c'!J1</f>
        <v>Exhibit 10</v>
      </c>
      <c r="H55" t="str">
        <f>+'[1]10.1c'!J2</f>
        <v>Sheet 1c</v>
      </c>
    </row>
    <row r="56" spans="1:9" x14ac:dyDescent="0.2">
      <c r="A56" s="25" t="s">
        <v>421</v>
      </c>
      <c r="B56" t="str">
        <f>+'10.1d'!A4</f>
        <v>Calculation of TWIA Earned Premium at Present Rate Level</v>
      </c>
      <c r="D56" t="str">
        <f>+'10.1d'!A5</f>
        <v>Tier 2 -- (Territories 1 and 11)</v>
      </c>
      <c r="F56" t="str">
        <f>+'[1]10.1d'!J1</f>
        <v>Exhibit 10</v>
      </c>
      <c r="H56" t="str">
        <f>+'[1]10.1d'!J2</f>
        <v>Sheet 1d</v>
      </c>
    </row>
    <row r="57" spans="1:9" x14ac:dyDescent="0.2">
      <c r="A57" s="25">
        <v>10.199999999999999</v>
      </c>
      <c r="B57" t="str">
        <f>+'10.2'!A4</f>
        <v>Calculation of TWIA Earned Premium at Present Rate Level</v>
      </c>
      <c r="F57" t="str">
        <f>+'[1]10.2'!J1</f>
        <v>Exhibit 10</v>
      </c>
      <c r="H57" t="str">
        <f>+'[1]10.2'!J2</f>
        <v>Sheet 2</v>
      </c>
    </row>
    <row r="58" spans="1:9" x14ac:dyDescent="0.2">
      <c r="A58" s="25">
        <v>11.1</v>
      </c>
      <c r="B58" t="str">
        <f>+'11.1'!A4</f>
        <v>Fixed Expenses and Variable Permissible Loss &amp; LAE Ratios</v>
      </c>
      <c r="F58" t="str">
        <f>+'[1]11.1'!J1</f>
        <v>Exhibit 11</v>
      </c>
      <c r="H58" t="str">
        <f>+'[1]11.1'!J2</f>
        <v>Sheet 1</v>
      </c>
    </row>
    <row r="59" spans="1:9" x14ac:dyDescent="0.2">
      <c r="A59" s="25">
        <v>11.2</v>
      </c>
      <c r="B59" t="str">
        <f>+'11.2'!A4</f>
        <v>Development of Reinsurer Expense</v>
      </c>
      <c r="D59" t="str">
        <f>+'11.2'!A5</f>
        <v>Using Average of AIR and  RMS Hurricane Models</v>
      </c>
      <c r="F59" t="str">
        <f>+'[1]11.2'!H1</f>
        <v>Exhibit 11</v>
      </c>
      <c r="H59" t="str">
        <f>+'[1]11.2'!H2</f>
        <v>Sheet 2</v>
      </c>
    </row>
    <row r="60" spans="1:9" x14ac:dyDescent="0.2">
      <c r="A60" s="25">
        <v>12</v>
      </c>
      <c r="B60" t="str">
        <f>+'12'!A4</f>
        <v>Reconciliation of Premium Data to Annual Statement</v>
      </c>
      <c r="F60" t="str">
        <f>+'[1]12'!J1</f>
        <v>Exhibit 12</v>
      </c>
      <c r="H60" s="305"/>
      <c r="I60" s="305"/>
    </row>
  </sheetData>
  <pageMargins left="0.7" right="0.7" top="0.75" bottom="0.75" header="0.3" footer="0.3"/>
  <pageSetup scale="91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51">
    <tabColor rgb="FF92D050"/>
    <pageSetUpPr fitToPage="1"/>
  </sheetPr>
  <dimension ref="A1:R71"/>
  <sheetViews>
    <sheetView showGridLines="0" topLeftCell="A55" workbookViewId="0">
      <selection activeCell="J65" sqref="J65"/>
    </sheetView>
  </sheetViews>
  <sheetFormatPr defaultColWidth="11.33203125" defaultRowHeight="10" x14ac:dyDescent="0.2"/>
  <cols>
    <col min="1" max="1" width="4.44140625" style="95" bestFit="1" customWidth="1"/>
    <col min="2" max="2" width="3.44140625" style="95" customWidth="1"/>
    <col min="3" max="3" width="14.33203125" style="244" customWidth="1"/>
    <col min="4" max="4" width="11.109375" style="95" bestFit="1" customWidth="1"/>
    <col min="5" max="5" width="7.33203125" style="95" bestFit="1" customWidth="1"/>
    <col min="6" max="6" width="15.77734375" style="95" customWidth="1"/>
    <col min="7" max="7" width="16.44140625" style="95" customWidth="1"/>
    <col min="8" max="8" width="18.77734375" style="95" customWidth="1"/>
    <col min="9" max="9" width="11.77734375" style="95" customWidth="1"/>
    <col min="10" max="10" width="12.109375" style="95" customWidth="1"/>
    <col min="11" max="11" width="12" style="95" customWidth="1"/>
    <col min="12" max="12" width="12.6640625" style="95" customWidth="1"/>
    <col min="13" max="16384" width="11.33203125" style="95"/>
  </cols>
  <sheetData>
    <row r="1" spans="1:18" ht="10.5" x14ac:dyDescent="0.25">
      <c r="A1" s="8" t="str">
        <f>'1'!$A$1</f>
        <v>Texas Windstorm Insurance Association</v>
      </c>
      <c r="C1" s="11"/>
      <c r="D1"/>
      <c r="E1"/>
      <c r="F1"/>
      <c r="G1"/>
      <c r="H1"/>
      <c r="L1" s="7" t="s">
        <v>67</v>
      </c>
      <c r="M1" s="1"/>
      <c r="Q1" s="95" t="s">
        <v>428</v>
      </c>
      <c r="R1" s="95" t="s">
        <v>431</v>
      </c>
    </row>
    <row r="2" spans="1:18" ht="10.5" x14ac:dyDescent="0.25">
      <c r="A2" s="8" t="str">
        <f>'1'!$A$2</f>
        <v>Residential Property - Wind &amp; Hail</v>
      </c>
      <c r="C2" s="11"/>
      <c r="D2"/>
      <c r="E2"/>
      <c r="F2"/>
      <c r="G2"/>
      <c r="H2"/>
      <c r="L2" s="7" t="s">
        <v>85</v>
      </c>
      <c r="M2" s="2"/>
    </row>
    <row r="3" spans="1:18" ht="10.5" x14ac:dyDescent="0.25">
      <c r="A3" s="8" t="str">
        <f>'1'!$A$3</f>
        <v>Rate Level Review</v>
      </c>
      <c r="C3" s="11"/>
      <c r="D3"/>
      <c r="E3"/>
      <c r="F3"/>
      <c r="G3"/>
      <c r="H3"/>
      <c r="I3"/>
      <c r="J3"/>
      <c r="K3"/>
      <c r="L3"/>
      <c r="M3" s="2"/>
    </row>
    <row r="4" spans="1:18" x14ac:dyDescent="0.2">
      <c r="A4" t="s">
        <v>230</v>
      </c>
      <c r="C4" s="11"/>
      <c r="D4"/>
      <c r="E4"/>
      <c r="F4"/>
      <c r="G4"/>
      <c r="H4"/>
      <c r="I4"/>
      <c r="J4"/>
      <c r="K4"/>
      <c r="L4"/>
      <c r="M4" s="2"/>
    </row>
    <row r="5" spans="1:18" x14ac:dyDescent="0.2">
      <c r="A5" s="12" t="s">
        <v>294</v>
      </c>
      <c r="C5" s="11"/>
      <c r="D5"/>
      <c r="E5"/>
      <c r="F5"/>
      <c r="G5"/>
      <c r="H5"/>
      <c r="I5"/>
      <c r="J5"/>
      <c r="K5"/>
      <c r="L5"/>
      <c r="M5" s="2"/>
    </row>
    <row r="6" spans="1:18" x14ac:dyDescent="0.2">
      <c r="A6"/>
      <c r="B6"/>
      <c r="C6" s="11"/>
      <c r="D6"/>
      <c r="E6"/>
      <c r="F6"/>
      <c r="G6"/>
      <c r="H6"/>
      <c r="I6"/>
      <c r="J6"/>
      <c r="K6"/>
      <c r="L6"/>
      <c r="M6" s="2"/>
    </row>
    <row r="7" spans="1:18" ht="10.5" thickBot="1" x14ac:dyDescent="0.25">
      <c r="A7" s="6"/>
      <c r="B7" s="6"/>
      <c r="C7" s="198"/>
      <c r="D7" s="6"/>
      <c r="E7" s="6"/>
      <c r="F7" s="6"/>
      <c r="G7" s="6"/>
      <c r="H7" s="6"/>
      <c r="I7" s="6"/>
      <c r="J7" s="6"/>
      <c r="K7" s="6"/>
      <c r="L7" s="6"/>
      <c r="M7" s="2"/>
    </row>
    <row r="8" spans="1:18" ht="10.5" thickTop="1" x14ac:dyDescent="0.2">
      <c r="A8"/>
      <c r="B8"/>
      <c r="C8" s="11"/>
      <c r="D8"/>
      <c r="E8"/>
      <c r="F8"/>
      <c r="G8" s="166" t="s">
        <v>71</v>
      </c>
      <c r="H8" s="50" t="s">
        <v>71</v>
      </c>
      <c r="I8"/>
      <c r="J8"/>
      <c r="K8"/>
      <c r="L8"/>
      <c r="M8" s="2"/>
    </row>
    <row r="9" spans="1:18" x14ac:dyDescent="0.2">
      <c r="A9"/>
      <c r="B9"/>
      <c r="C9" s="240"/>
      <c r="D9" s="12"/>
      <c r="E9" t="s">
        <v>297</v>
      </c>
      <c r="G9" t="s">
        <v>212</v>
      </c>
      <c r="H9" t="s">
        <v>212</v>
      </c>
      <c r="I9"/>
      <c r="J9"/>
      <c r="K9"/>
      <c r="L9"/>
      <c r="M9" s="2"/>
    </row>
    <row r="10" spans="1:18" x14ac:dyDescent="0.2">
      <c r="A10" t="s">
        <v>232</v>
      </c>
      <c r="B10"/>
      <c r="C10" s="11" t="s">
        <v>337</v>
      </c>
      <c r="D10" t="s">
        <v>231</v>
      </c>
      <c r="E10" t="s">
        <v>288</v>
      </c>
      <c r="F10" s="50" t="s">
        <v>212</v>
      </c>
      <c r="G10" s="95" t="s">
        <v>286</v>
      </c>
      <c r="H10" s="95" t="s">
        <v>286</v>
      </c>
      <c r="I10" s="10" t="s">
        <v>287</v>
      </c>
      <c r="J10"/>
      <c r="K10"/>
      <c r="L10"/>
      <c r="M10" s="2"/>
      <c r="N10" s="11" t="s">
        <v>233</v>
      </c>
    </row>
    <row r="11" spans="1:18" x14ac:dyDescent="0.2">
      <c r="A11" s="9" t="s">
        <v>234</v>
      </c>
      <c r="B11" s="9"/>
      <c r="C11" s="241" t="s">
        <v>231</v>
      </c>
      <c r="D11" s="9" t="s">
        <v>127</v>
      </c>
      <c r="E11" s="9" t="s">
        <v>293</v>
      </c>
      <c r="F11" s="287" t="s">
        <v>286</v>
      </c>
      <c r="G11" s="287" t="s">
        <v>338</v>
      </c>
      <c r="H11" s="287" t="s">
        <v>339</v>
      </c>
      <c r="I11" s="9" t="s">
        <v>289</v>
      </c>
      <c r="J11" s="9" t="s">
        <v>281</v>
      </c>
      <c r="K11" s="9" t="s">
        <v>282</v>
      </c>
      <c r="L11" s="9" t="s">
        <v>283</v>
      </c>
      <c r="M11" s="2"/>
      <c r="N11" s="238" t="s">
        <v>34</v>
      </c>
      <c r="O11" s="237" t="s">
        <v>235</v>
      </c>
    </row>
    <row r="12" spans="1:18" x14ac:dyDescent="0.2">
      <c r="A12" s="13" t="str">
        <f>TEXT(COLUMN(),"(#)")</f>
        <v>(1)</v>
      </c>
      <c r="B12" s="13"/>
      <c r="C12" s="11" t="str">
        <f t="shared" ref="C12:L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289" t="s">
        <v>123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 t="str">
        <f t="shared" si="0"/>
        <v>(11)</v>
      </c>
      <c r="M12" s="2"/>
    </row>
    <row r="13" spans="1:18" x14ac:dyDescent="0.2">
      <c r="A13"/>
      <c r="B13"/>
      <c r="C13" s="11"/>
      <c r="D13"/>
      <c r="E13"/>
      <c r="F13"/>
      <c r="G13"/>
      <c r="H13"/>
      <c r="I13"/>
      <c r="J13"/>
      <c r="K13"/>
      <c r="L13"/>
      <c r="M13" s="2"/>
    </row>
    <row r="14" spans="1:18" x14ac:dyDescent="0.2">
      <c r="A14" s="72" t="str">
        <f t="shared" ref="A14:A48" si="1">YEAR(N14)&amp;" / "&amp;MONTH(N14)/3</f>
        <v>2012 / 2</v>
      </c>
      <c r="C14" s="331">
        <f>'[3]TWIA 4 Premium Trend'!F26</f>
        <v>77155</v>
      </c>
      <c r="D14" s="332">
        <f>'[3]TWIA 4 Premium Trend'!E26</f>
        <v>96214511</v>
      </c>
      <c r="E14" s="333">
        <f>'[4]3.2 premium trend'!E14</f>
        <v>1.3400956406250004</v>
      </c>
      <c r="F14" s="268">
        <f>D14*E14</f>
        <v>128936646.75596616</v>
      </c>
      <c r="G14" s="261">
        <f>F14/C14</f>
        <v>1671.1379269777221</v>
      </c>
      <c r="H14" s="261"/>
      <c r="I14" s="19"/>
      <c r="J14" s="19"/>
      <c r="K14" s="19"/>
      <c r="L14" s="19"/>
      <c r="M14" s="2"/>
      <c r="N14" s="164">
        <f t="shared" ref="N14:N43" si="2">DATE(YEAR(N15+1),MONTH(N15+1)-3,1)-1</f>
        <v>41090</v>
      </c>
      <c r="O14" s="165">
        <f t="shared" ref="O14:O48" si="3">YEAR(N14)+MONTH(N14)/12</f>
        <v>2012.5</v>
      </c>
      <c r="Q14" s="324">
        <f>D14/C14</f>
        <v>1247.0288510141922</v>
      </c>
    </row>
    <row r="15" spans="1:18" x14ac:dyDescent="0.2">
      <c r="A15" s="72" t="str">
        <f t="shared" si="1"/>
        <v>2012 / 3</v>
      </c>
      <c r="C15" s="331">
        <f>'[3]TWIA 4 Premium Trend'!F27</f>
        <v>89431</v>
      </c>
      <c r="D15" s="332">
        <f>'[3]TWIA 4 Premium Trend'!E27</f>
        <v>112131482</v>
      </c>
      <c r="E15" s="333">
        <f>'[4]3.2 premium trend'!E15</f>
        <v>1.3400956406250004</v>
      </c>
      <c r="F15" s="268">
        <f t="shared" ref="F15:F51" si="4">D15*E15</f>
        <v>150266910.2050207</v>
      </c>
      <c r="G15" s="261">
        <f t="shared" ref="G15:G52" si="5">F15/C15</f>
        <v>1680.2552828998971</v>
      </c>
      <c r="H15" s="261"/>
      <c r="I15" s="19"/>
      <c r="J15" s="19"/>
      <c r="K15" s="19"/>
      <c r="L15" s="19"/>
      <c r="M15" s="2"/>
      <c r="N15" s="164">
        <f t="shared" si="2"/>
        <v>41182</v>
      </c>
      <c r="O15" s="165">
        <f t="shared" si="3"/>
        <v>2012.75</v>
      </c>
      <c r="Q15" s="324">
        <f t="shared" ref="Q15:Q52" si="6">D15/C15</f>
        <v>1253.8323623799354</v>
      </c>
    </row>
    <row r="16" spans="1:18" x14ac:dyDescent="0.2">
      <c r="A16" s="72" t="str">
        <f t="shared" si="1"/>
        <v>2012 / 4</v>
      </c>
      <c r="C16" s="331">
        <f>'[3]TWIA 4 Premium Trend'!F28</f>
        <v>54952</v>
      </c>
      <c r="D16" s="332">
        <f>'[3]TWIA 4 Premium Trend'!E28</f>
        <v>70018382</v>
      </c>
      <c r="E16" s="333">
        <f>'[4]3.2 premium trend'!E16</f>
        <v>1.3400956406250004</v>
      </c>
      <c r="F16" s="268">
        <f t="shared" si="4"/>
        <v>93831328.481815994</v>
      </c>
      <c r="G16" s="261">
        <f t="shared" si="5"/>
        <v>1707.5143485553938</v>
      </c>
      <c r="H16" s="261"/>
      <c r="I16" s="19"/>
      <c r="J16" s="19"/>
      <c r="K16" s="19"/>
      <c r="L16" s="19"/>
      <c r="M16" s="2"/>
      <c r="N16" s="164">
        <f t="shared" si="2"/>
        <v>41274</v>
      </c>
      <c r="O16" s="165">
        <f t="shared" si="3"/>
        <v>2013</v>
      </c>
      <c r="Q16" s="324">
        <f t="shared" si="6"/>
        <v>1274.1734968699957</v>
      </c>
    </row>
    <row r="17" spans="1:18" x14ac:dyDescent="0.2">
      <c r="A17" s="72" t="str">
        <f t="shared" si="1"/>
        <v>2013 / 1</v>
      </c>
      <c r="B17"/>
      <c r="C17" s="331">
        <f>'[3]TWIA 4 Premium Trend'!F29</f>
        <v>54742</v>
      </c>
      <c r="D17" s="332">
        <f>'[3]TWIA 4 Premium Trend'!E29</f>
        <v>71740155</v>
      </c>
      <c r="E17" s="333">
        <f>'[4]3.2 premium trend'!E17</f>
        <v>1.2762815625000004</v>
      </c>
      <c r="F17" s="268">
        <f t="shared" si="4"/>
        <v>91560637.117392212</v>
      </c>
      <c r="G17" s="261">
        <f t="shared" si="5"/>
        <v>1672.5847999231341</v>
      </c>
      <c r="H17" s="288">
        <f>IFERROR(SUM(F14:F17)/SUM(C14:C17),0)</f>
        <v>1681.6111284211493</v>
      </c>
      <c r="I17" s="253">
        <f>GROWTH($H$17:$H$52,$O$17:$O$52,$O17,1)</f>
        <v>1695.1419715530824</v>
      </c>
      <c r="M17" s="2"/>
      <c r="N17" s="164">
        <f t="shared" si="2"/>
        <v>41364</v>
      </c>
      <c r="O17" s="165">
        <f t="shared" si="3"/>
        <v>2013.25</v>
      </c>
      <c r="Q17" s="324">
        <f t="shared" si="6"/>
        <v>1310.5139563771875</v>
      </c>
    </row>
    <row r="18" spans="1:18" x14ac:dyDescent="0.2">
      <c r="A18" s="72" t="str">
        <f t="shared" si="1"/>
        <v>2013 / 2</v>
      </c>
      <c r="B18" s="51"/>
      <c r="C18" s="331">
        <f>'[3]TWIA 4 Premium Trend'!F30</f>
        <v>82182</v>
      </c>
      <c r="D18" s="332">
        <f>'[3]TWIA 4 Premium Trend'!E30</f>
        <v>108632729</v>
      </c>
      <c r="E18" s="333">
        <f>'[4]3.2 premium trend'!E18</f>
        <v>1.2762815625000004</v>
      </c>
      <c r="F18" s="268">
        <f t="shared" si="4"/>
        <v>138645949.1067591</v>
      </c>
      <c r="G18" s="261">
        <f t="shared" si="5"/>
        <v>1687.0598075826715</v>
      </c>
      <c r="H18" s="288">
        <f>IFERROR(SUM(F15:F18)/SUM(C15:C18),0)</f>
        <v>1686.0754439490947</v>
      </c>
      <c r="I18" s="253">
        <f t="shared" ref="I18:I51" si="7">GROWTH($H$17:$H$52,$O$17:$O$52,$O18,1)</f>
        <v>1697.6412580810045</v>
      </c>
      <c r="J18" s="254"/>
      <c r="K18" s="254"/>
      <c r="L18" s="254"/>
      <c r="M18" s="2"/>
      <c r="N18" s="164">
        <f t="shared" si="2"/>
        <v>41455</v>
      </c>
      <c r="O18" s="165">
        <f t="shared" si="3"/>
        <v>2013.5</v>
      </c>
      <c r="Q18" s="324">
        <f t="shared" si="6"/>
        <v>1321.8555036382663</v>
      </c>
    </row>
    <row r="19" spans="1:18" x14ac:dyDescent="0.2">
      <c r="A19" s="72" t="str">
        <f t="shared" si="1"/>
        <v>2013 / 3</v>
      </c>
      <c r="C19" s="331">
        <f>'[3]TWIA 4 Premium Trend'!F31</f>
        <v>83114</v>
      </c>
      <c r="D19" s="332">
        <f>'[3]TWIA 4 Premium Trend'!E31</f>
        <v>111540208</v>
      </c>
      <c r="E19" s="333">
        <f>'[4]3.2 premium trend'!E19</f>
        <v>1.2762815625000004</v>
      </c>
      <c r="F19" s="268">
        <f t="shared" si="4"/>
        <v>142356710.94781503</v>
      </c>
      <c r="G19" s="261">
        <f t="shared" si="5"/>
        <v>1712.7885909451479</v>
      </c>
      <c r="H19" s="288">
        <f t="shared" ref="H19:H51" si="8">IFERROR(SUM(F16:F19)/SUM(C16:C19),0)</f>
        <v>1696.0421311821608</v>
      </c>
      <c r="I19" s="253">
        <f t="shared" si="7"/>
        <v>1700.1442295115769</v>
      </c>
      <c r="J19" s="252"/>
      <c r="K19" s="252"/>
      <c r="L19" s="252"/>
      <c r="M19" s="2"/>
      <c r="N19" s="164">
        <f t="shared" si="2"/>
        <v>41547</v>
      </c>
      <c r="O19" s="165">
        <f t="shared" si="3"/>
        <v>2013.75</v>
      </c>
      <c r="P19" s="224"/>
      <c r="Q19" s="324">
        <f t="shared" si="6"/>
        <v>1342.0146786341652</v>
      </c>
    </row>
    <row r="20" spans="1:18" x14ac:dyDescent="0.2">
      <c r="A20" s="72" t="str">
        <f t="shared" si="1"/>
        <v>2013 / 4</v>
      </c>
      <c r="C20" s="331">
        <f>'[3]TWIA 4 Premium Trend'!F32</f>
        <v>60544</v>
      </c>
      <c r="D20" s="332">
        <f>'[3]TWIA 4 Premium Trend'!E32</f>
        <v>81734680</v>
      </c>
      <c r="E20" s="333">
        <f>'[4]3.2 premium trend'!E20</f>
        <v>1.2762815625000004</v>
      </c>
      <c r="F20" s="268">
        <f t="shared" si="4"/>
        <v>104316465.10083753</v>
      </c>
      <c r="G20" s="261">
        <f t="shared" si="5"/>
        <v>1722.9860118399433</v>
      </c>
      <c r="H20" s="288">
        <f t="shared" si="8"/>
        <v>1699.6092488926724</v>
      </c>
      <c r="I20" s="253">
        <f t="shared" si="7"/>
        <v>1702.6508912777588</v>
      </c>
      <c r="J20" s="255"/>
      <c r="K20" s="255"/>
      <c r="L20" s="255"/>
      <c r="M20" s="2"/>
      <c r="N20" s="164">
        <f t="shared" si="2"/>
        <v>41639</v>
      </c>
      <c r="O20" s="165">
        <f t="shared" si="3"/>
        <v>2014</v>
      </c>
      <c r="P20" s="224"/>
      <c r="Q20" s="324">
        <f t="shared" si="6"/>
        <v>1350.0046247357293</v>
      </c>
    </row>
    <row r="21" spans="1:18" x14ac:dyDescent="0.2">
      <c r="A21" s="72" t="str">
        <f t="shared" si="1"/>
        <v>2014 / 1</v>
      </c>
      <c r="B21"/>
      <c r="C21" s="331">
        <f>'[3]TWIA 4 Premium Trend'!F33</f>
        <v>55592</v>
      </c>
      <c r="D21" s="332">
        <f>'[3]TWIA 4 Premium Trend'!E33</f>
        <v>77867785</v>
      </c>
      <c r="E21" s="333">
        <f>'[4]3.2 premium trend'!E21</f>
        <v>1.2155062500000002</v>
      </c>
      <c r="F21" s="268">
        <f t="shared" si="4"/>
        <v>94648779.341156274</v>
      </c>
      <c r="G21" s="261">
        <f t="shared" si="5"/>
        <v>1702.5611480277068</v>
      </c>
      <c r="H21" s="288">
        <f t="shared" si="8"/>
        <v>1705.4489343662694</v>
      </c>
      <c r="I21" s="253">
        <f t="shared" si="7"/>
        <v>1705.1612488205089</v>
      </c>
      <c r="J21" s="255"/>
      <c r="K21" s="255"/>
      <c r="L21" s="255"/>
      <c r="M21" s="2"/>
      <c r="N21" s="164">
        <f t="shared" si="2"/>
        <v>41729</v>
      </c>
      <c r="O21" s="165">
        <f t="shared" si="3"/>
        <v>2014.25</v>
      </c>
      <c r="P21" s="224"/>
      <c r="Q21" s="324">
        <f t="shared" si="6"/>
        <v>1400.7012699669017</v>
      </c>
    </row>
    <row r="22" spans="1:18" x14ac:dyDescent="0.2">
      <c r="A22" s="72" t="str">
        <f t="shared" si="1"/>
        <v>2014 / 2</v>
      </c>
      <c r="B22" s="25"/>
      <c r="C22" s="331">
        <f>'[3]TWIA 4 Premium Trend'!F34</f>
        <v>79155</v>
      </c>
      <c r="D22" s="332">
        <f>'[3]TWIA 4 Premium Trend'!E34</f>
        <v>111616003</v>
      </c>
      <c r="E22" s="333">
        <f>'[4]3.2 premium trend'!E22</f>
        <v>1.2155062500000002</v>
      </c>
      <c r="F22" s="268">
        <f t="shared" si="4"/>
        <v>135669949.24651879</v>
      </c>
      <c r="G22" s="261">
        <f t="shared" si="5"/>
        <v>1713.9782609629056</v>
      </c>
      <c r="H22" s="288">
        <f t="shared" si="8"/>
        <v>1713.3022202773932</v>
      </c>
      <c r="I22" s="253">
        <f t="shared" si="7"/>
        <v>1707.6753075888182</v>
      </c>
      <c r="J22" s="255"/>
      <c r="K22" s="255"/>
      <c r="L22" s="255"/>
      <c r="M22" s="2"/>
      <c r="N22" s="164">
        <f t="shared" si="2"/>
        <v>41820</v>
      </c>
      <c r="O22" s="165">
        <f t="shared" si="3"/>
        <v>2014.5</v>
      </c>
      <c r="P22" s="224"/>
      <c r="Q22" s="324">
        <f t="shared" si="6"/>
        <v>1410.0941570336681</v>
      </c>
    </row>
    <row r="23" spans="1:18" x14ac:dyDescent="0.2">
      <c r="A23" s="72" t="str">
        <f t="shared" si="1"/>
        <v>2014 / 3</v>
      </c>
      <c r="B23" s="25"/>
      <c r="C23" s="331">
        <f>'[3]TWIA 4 Premium Trend'!F35</f>
        <v>89874</v>
      </c>
      <c r="D23" s="332">
        <f>'[3]TWIA 4 Premium Trend'!E35</f>
        <v>128096479</v>
      </c>
      <c r="E23" s="333">
        <f>'[4]3.2 premium trend'!E23</f>
        <v>1.2155062500000002</v>
      </c>
      <c r="F23" s="268">
        <f t="shared" si="4"/>
        <v>155702070.82749379</v>
      </c>
      <c r="G23" s="261">
        <f t="shared" si="5"/>
        <v>1732.4484370061841</v>
      </c>
      <c r="H23" s="288">
        <f t="shared" si="8"/>
        <v>1719.4861379061467</v>
      </c>
      <c r="I23" s="253">
        <f t="shared" si="7"/>
        <v>1710.1930730397037</v>
      </c>
      <c r="J23" s="255"/>
      <c r="K23" s="255"/>
      <c r="L23" s="255"/>
      <c r="M23" s="2"/>
      <c r="N23" s="164">
        <f t="shared" si="2"/>
        <v>41912</v>
      </c>
      <c r="O23" s="165">
        <f t="shared" si="3"/>
        <v>2014.75</v>
      </c>
      <c r="P23" s="225"/>
      <c r="Q23" s="324">
        <f t="shared" si="6"/>
        <v>1425.2896165743152</v>
      </c>
    </row>
    <row r="24" spans="1:18" x14ac:dyDescent="0.2">
      <c r="A24" s="72" t="str">
        <f t="shared" si="1"/>
        <v>2014 / 4</v>
      </c>
      <c r="B24" s="25"/>
      <c r="C24" s="331">
        <f>'[3]TWIA 4 Premium Trend'!F36</f>
        <v>60646</v>
      </c>
      <c r="D24" s="332">
        <f>'[3]TWIA 4 Premium Trend'!E36</f>
        <v>86711448</v>
      </c>
      <c r="E24" s="333">
        <f>'[4]3.2 premium trend'!E24</f>
        <v>1.2155062500000002</v>
      </c>
      <c r="F24" s="268">
        <f t="shared" si="4"/>
        <v>105398306.99055003</v>
      </c>
      <c r="G24" s="261">
        <f t="shared" si="5"/>
        <v>1737.92677160159</v>
      </c>
      <c r="H24" s="288">
        <f t="shared" si="8"/>
        <v>1722.6637024461957</v>
      </c>
      <c r="I24" s="253">
        <f t="shared" si="7"/>
        <v>1712.7145506382274</v>
      </c>
      <c r="J24" s="255"/>
      <c r="K24" s="255"/>
      <c r="L24" s="255"/>
      <c r="M24" s="2"/>
      <c r="N24" s="164">
        <f t="shared" si="2"/>
        <v>42004</v>
      </c>
      <c r="O24" s="165">
        <f t="shared" si="3"/>
        <v>2015</v>
      </c>
      <c r="P24" s="225"/>
      <c r="Q24" s="324">
        <f t="shared" si="6"/>
        <v>1429.7966560036937</v>
      </c>
    </row>
    <row r="25" spans="1:18" x14ac:dyDescent="0.2">
      <c r="A25" s="72" t="str">
        <f t="shared" si="1"/>
        <v>2015 / 1</v>
      </c>
      <c r="B25" s="25"/>
      <c r="C25" s="331">
        <f>'[3]TWIA 4 Premium Trend'!F37</f>
        <v>57651</v>
      </c>
      <c r="D25" s="332">
        <f>'[3]TWIA 4 Premium Trend'!E37</f>
        <v>85327979</v>
      </c>
      <c r="E25" s="333">
        <f>'[4]3.2 premium trend'!E25</f>
        <v>1.1576250000000001</v>
      </c>
      <c r="F25" s="268">
        <f t="shared" si="4"/>
        <v>98777801.689875007</v>
      </c>
      <c r="G25" s="261">
        <f t="shared" si="5"/>
        <v>1713.3753393674872</v>
      </c>
      <c r="H25" s="288">
        <f>IFERROR(SUM(F22:F25)/SUM(C22:C25),0)</f>
        <v>1724.6894772990875</v>
      </c>
      <c r="I25" s="253">
        <f t="shared" si="7"/>
        <v>1715.239745857519</v>
      </c>
      <c r="J25" s="253"/>
      <c r="K25" s="253"/>
      <c r="L25" s="253"/>
      <c r="M25" s="2"/>
      <c r="N25" s="164">
        <f t="shared" si="2"/>
        <v>42094</v>
      </c>
      <c r="O25" s="165">
        <f t="shared" si="3"/>
        <v>2015.25</v>
      </c>
      <c r="P25" s="225"/>
      <c r="Q25" s="325">
        <f t="shared" si="6"/>
        <v>1480.0780385422629</v>
      </c>
    </row>
    <row r="26" spans="1:18" x14ac:dyDescent="0.2">
      <c r="A26" s="72" t="str">
        <f t="shared" si="1"/>
        <v>2015 / 2</v>
      </c>
      <c r="B26" s="25"/>
      <c r="C26" s="331">
        <f>'[3]TWIA 4 Premium Trend'!F38</f>
        <v>82158</v>
      </c>
      <c r="D26" s="332">
        <f>'[3]TWIA 4 Premium Trend'!E38</f>
        <v>122581230</v>
      </c>
      <c r="E26" s="333">
        <f>'[4]3.2 premium trend'!E26</f>
        <v>1.1576250000000001</v>
      </c>
      <c r="F26" s="268">
        <f t="shared" si="4"/>
        <v>141903096.37875003</v>
      </c>
      <c r="G26" s="261">
        <f>F26/C26</f>
        <v>1727.1975508015048</v>
      </c>
      <c r="H26" s="288">
        <f t="shared" si="8"/>
        <v>1728.3195129892945</v>
      </c>
      <c r="I26" s="253">
        <f t="shared" si="7"/>
        <v>1717.7686641787648</v>
      </c>
      <c r="J26" s="253"/>
      <c r="K26" s="253"/>
      <c r="L26" s="253"/>
      <c r="M26" s="2"/>
      <c r="N26" s="164">
        <f t="shared" si="2"/>
        <v>42185</v>
      </c>
      <c r="O26" s="165">
        <f t="shared" si="3"/>
        <v>2015.5</v>
      </c>
      <c r="P26" s="225"/>
      <c r="Q26" s="325">
        <f t="shared" si="6"/>
        <v>1492.0181844738188</v>
      </c>
    </row>
    <row r="27" spans="1:18" x14ac:dyDescent="0.2">
      <c r="A27" s="72" t="str">
        <f t="shared" si="1"/>
        <v>2015 / 3</v>
      </c>
      <c r="B27" s="25"/>
      <c r="C27" s="331">
        <f>'[3]TWIA 4 Premium Trend'!F39</f>
        <v>84402</v>
      </c>
      <c r="D27" s="332">
        <f>'[3]TWIA 4 Premium Trend'!E39</f>
        <v>127421809</v>
      </c>
      <c r="E27" s="333">
        <f>'[4]3.2 premium trend'!E27</f>
        <v>1.1576250000000001</v>
      </c>
      <c r="F27" s="268">
        <f t="shared" si="4"/>
        <v>147506671.64362502</v>
      </c>
      <c r="G27" s="261">
        <f t="shared" si="5"/>
        <v>1747.6679657309664</v>
      </c>
      <c r="H27" s="288">
        <f t="shared" si="8"/>
        <v>1732.7496838863012</v>
      </c>
      <c r="I27" s="253">
        <f t="shared" si="7"/>
        <v>1720.3013110912445</v>
      </c>
      <c r="J27" s="253"/>
      <c r="K27" s="253"/>
      <c r="L27" s="253"/>
      <c r="M27" s="2"/>
      <c r="N27" s="164">
        <f t="shared" si="2"/>
        <v>42277</v>
      </c>
      <c r="O27" s="165">
        <f t="shared" si="3"/>
        <v>2015.75</v>
      </c>
      <c r="P27" s="225"/>
      <c r="Q27" s="325">
        <f t="shared" si="6"/>
        <v>1509.7012985474278</v>
      </c>
    </row>
    <row r="28" spans="1:18" x14ac:dyDescent="0.2">
      <c r="A28" s="72" t="str">
        <f t="shared" si="1"/>
        <v>2015 / 4</v>
      </c>
      <c r="B28" s="25"/>
      <c r="C28" s="331">
        <f>'[3]TWIA 4 Premium Trend'!F40</f>
        <v>57308</v>
      </c>
      <c r="D28" s="332">
        <f>'[3]TWIA 4 Premium Trend'!E40</f>
        <v>87342988</v>
      </c>
      <c r="E28" s="333">
        <f>'[4]3.2 premium trend'!E28</f>
        <v>1.1576250000000001</v>
      </c>
      <c r="F28" s="268">
        <f t="shared" si="4"/>
        <v>101110426.4835</v>
      </c>
      <c r="G28" s="261">
        <f t="shared" si="5"/>
        <v>1764.3335395320025</v>
      </c>
      <c r="H28" s="288">
        <f>IFERROR(SUM(F25:F28)/SUM(C25:C28),0)</f>
        <v>1738.0638471852701</v>
      </c>
      <c r="I28" s="253">
        <f>GROWTH($H$17:$H$52,$O$17:$O$52,$O28,1)</f>
        <v>1722.8376920923226</v>
      </c>
      <c r="J28" s="253"/>
      <c r="K28" s="253"/>
      <c r="L28" s="253"/>
      <c r="M28" s="2"/>
      <c r="N28" s="164">
        <f t="shared" si="2"/>
        <v>42369</v>
      </c>
      <c r="O28" s="165">
        <f t="shared" si="3"/>
        <v>2016</v>
      </c>
      <c r="P28" s="225"/>
      <c r="Q28" s="325">
        <f t="shared" si="6"/>
        <v>1524.0976477978643</v>
      </c>
    </row>
    <row r="29" spans="1:18" x14ac:dyDescent="0.2">
      <c r="A29" s="72" t="str">
        <f t="shared" si="1"/>
        <v>2016 / 1</v>
      </c>
      <c r="B29" s="25"/>
      <c r="C29" s="331">
        <f>'[3]TWIA 4 Premium Trend'!F41</f>
        <v>54113</v>
      </c>
      <c r="D29" s="332">
        <f>'[3]TWIA 4 Premium Trend'!E41</f>
        <v>84557230</v>
      </c>
      <c r="E29" s="333">
        <f>'[4]3.2 premium trend'!E29</f>
        <v>1.1025</v>
      </c>
      <c r="F29" s="268">
        <f t="shared" si="4"/>
        <v>93224346.075000003</v>
      </c>
      <c r="G29" s="261">
        <f t="shared" si="5"/>
        <v>1722.7717198270286</v>
      </c>
      <c r="H29" s="288">
        <f t="shared" si="8"/>
        <v>1740.2072104959514</v>
      </c>
      <c r="I29" s="253">
        <f t="shared" si="7"/>
        <v>1725.3778126874681</v>
      </c>
      <c r="J29" s="253"/>
      <c r="K29" s="253"/>
      <c r="L29" s="253"/>
      <c r="M29" s="2"/>
      <c r="N29" s="164">
        <f t="shared" si="2"/>
        <v>42460</v>
      </c>
      <c r="O29" s="165">
        <f t="shared" si="3"/>
        <v>2016.25</v>
      </c>
      <c r="P29" s="225"/>
      <c r="Q29" s="325">
        <f t="shared" si="6"/>
        <v>1562.6047345369875</v>
      </c>
      <c r="R29" s="225"/>
    </row>
    <row r="30" spans="1:18" x14ac:dyDescent="0.2">
      <c r="A30" s="72" t="str">
        <f t="shared" si="1"/>
        <v>2016 / 2</v>
      </c>
      <c r="B30" s="25"/>
      <c r="C30" s="331">
        <f>'[3]TWIA 4 Premium Trend'!F42</f>
        <v>79991</v>
      </c>
      <c r="D30" s="332">
        <f>'[3]TWIA 4 Premium Trend'!E42</f>
        <v>125845764</v>
      </c>
      <c r="E30" s="333">
        <f>'[4]3.2 premium trend'!E30</f>
        <v>1.1025</v>
      </c>
      <c r="F30" s="268">
        <f t="shared" si="4"/>
        <v>138744954.81</v>
      </c>
      <c r="G30" s="261">
        <f t="shared" si="5"/>
        <v>1734.5070671700566</v>
      </c>
      <c r="H30" s="288">
        <f t="shared" si="8"/>
        <v>1742.4293147270444</v>
      </c>
      <c r="I30" s="253">
        <f t="shared" si="7"/>
        <v>1727.9216783902768</v>
      </c>
      <c r="J30" s="253"/>
      <c r="K30" s="253"/>
      <c r="L30" s="253"/>
      <c r="M30" s="2"/>
      <c r="N30" s="164">
        <f t="shared" si="2"/>
        <v>42551</v>
      </c>
      <c r="O30" s="165">
        <f t="shared" si="3"/>
        <v>2016.5</v>
      </c>
      <c r="P30" s="225"/>
      <c r="Q30" s="325">
        <f t="shared" si="6"/>
        <v>1573.2490405170581</v>
      </c>
      <c r="R30" s="225"/>
    </row>
    <row r="31" spans="1:18" x14ac:dyDescent="0.2">
      <c r="A31" s="72" t="str">
        <f t="shared" si="1"/>
        <v>2016 / 3</v>
      </c>
      <c r="B31" s="51"/>
      <c r="C31" s="331">
        <f>'[3]TWIA 4 Premium Trend'!F43</f>
        <v>77932</v>
      </c>
      <c r="D31" s="332">
        <f>'[3]TWIA 4 Premium Trend'!E43</f>
        <v>123784247</v>
      </c>
      <c r="E31" s="333">
        <f>'[4]3.2 premium trend'!E31</f>
        <v>1.1025</v>
      </c>
      <c r="F31" s="268">
        <f t="shared" si="4"/>
        <v>136472132.3175</v>
      </c>
      <c r="G31" s="261">
        <f t="shared" si="5"/>
        <v>1751.169382506544</v>
      </c>
      <c r="H31" s="288">
        <f t="shared" si="8"/>
        <v>1743.3165754054294</v>
      </c>
      <c r="I31" s="253">
        <f t="shared" si="7"/>
        <v>1730.4692947224646</v>
      </c>
      <c r="J31" s="253"/>
      <c r="K31" s="253"/>
      <c r="L31" s="253"/>
      <c r="M31" s="2"/>
      <c r="N31" s="164">
        <f t="shared" si="2"/>
        <v>42643</v>
      </c>
      <c r="O31" s="165">
        <f t="shared" si="3"/>
        <v>2016.75</v>
      </c>
      <c r="P31" s="225"/>
      <c r="Q31" s="325">
        <f t="shared" si="6"/>
        <v>1588.362251706616</v>
      </c>
      <c r="R31" s="225"/>
    </row>
    <row r="32" spans="1:18" x14ac:dyDescent="0.2">
      <c r="A32" s="72" t="str">
        <f t="shared" si="1"/>
        <v>2016 / 4</v>
      </c>
      <c r="B32" s="50"/>
      <c r="C32" s="331">
        <f>'[3]TWIA 4 Premium Trend'!F44</f>
        <v>51030</v>
      </c>
      <c r="D32" s="332">
        <f>'[3]TWIA 4 Premium Trend'!E44</f>
        <v>81959449</v>
      </c>
      <c r="E32" s="333">
        <f>'[4]3.2 premium trend'!E32</f>
        <v>1.1025</v>
      </c>
      <c r="F32" s="268">
        <f t="shared" si="4"/>
        <v>90360292.522500008</v>
      </c>
      <c r="G32" s="261">
        <f t="shared" si="5"/>
        <v>1770.7288364197532</v>
      </c>
      <c r="H32" s="288">
        <f t="shared" si="8"/>
        <v>1744.055581964222</v>
      </c>
      <c r="I32" s="253">
        <f t="shared" si="7"/>
        <v>1733.0206672138879</v>
      </c>
      <c r="J32" s="253"/>
      <c r="K32" s="253"/>
      <c r="L32" s="253"/>
      <c r="M32" s="2"/>
      <c r="N32" s="164">
        <f t="shared" si="2"/>
        <v>42735</v>
      </c>
      <c r="O32" s="165">
        <f t="shared" si="3"/>
        <v>2017</v>
      </c>
      <c r="P32" s="225"/>
      <c r="Q32" s="325">
        <f t="shared" si="6"/>
        <v>1606.1032529884383</v>
      </c>
      <c r="R32" s="225"/>
    </row>
    <row r="33" spans="1:18" x14ac:dyDescent="0.2">
      <c r="A33" s="72" t="str">
        <f t="shared" si="1"/>
        <v>2017 / 1</v>
      </c>
      <c r="B33" s="50"/>
      <c r="C33" s="331">
        <f>'[3]TWIA 4 Premium Trend'!F45</f>
        <v>50991</v>
      </c>
      <c r="D33" s="332">
        <f>'[3]TWIA 4 Premium Trend'!E45</f>
        <v>79037984</v>
      </c>
      <c r="E33" s="333">
        <f>'[4]3.2 premium trend'!E33</f>
        <v>1.1025</v>
      </c>
      <c r="F33" s="268">
        <f t="shared" si="4"/>
        <v>87139377.359999999</v>
      </c>
      <c r="G33" s="261">
        <f t="shared" si="5"/>
        <v>1708.9168159086898</v>
      </c>
      <c r="H33" s="288">
        <f t="shared" si="8"/>
        <v>1741.5934086187794</v>
      </c>
      <c r="I33" s="253">
        <f t="shared" si="7"/>
        <v>1735.575801402566</v>
      </c>
      <c r="J33" s="253">
        <f>GROWTH($H$33:$H$52,$O$33:$O$52,$O33,1)</f>
        <v>1715.5594710099449</v>
      </c>
      <c r="K33" s="253"/>
      <c r="L33" s="253"/>
      <c r="M33" s="2"/>
      <c r="N33" s="164">
        <f t="shared" si="2"/>
        <v>42825</v>
      </c>
      <c r="O33" s="165">
        <f t="shared" si="3"/>
        <v>2017.25</v>
      </c>
      <c r="P33" s="225"/>
      <c r="Q33" s="325">
        <f t="shared" si="6"/>
        <v>1550.0379282618501</v>
      </c>
      <c r="R33" s="225"/>
    </row>
    <row r="34" spans="1:18" x14ac:dyDescent="0.2">
      <c r="A34" s="72" t="str">
        <f t="shared" si="1"/>
        <v>2017 / 2</v>
      </c>
      <c r="B34" s="166"/>
      <c r="C34" s="331">
        <f>'[3]TWIA 4 Premium Trend'!F46</f>
        <v>73614</v>
      </c>
      <c r="D34" s="332">
        <f>'[3]TWIA 4 Premium Trend'!E46</f>
        <v>114547681</v>
      </c>
      <c r="E34" s="333">
        <f>'[4]3.2 premium trend'!E34</f>
        <v>1.1025</v>
      </c>
      <c r="F34" s="268">
        <f t="shared" si="4"/>
        <v>126288818.30250001</v>
      </c>
      <c r="G34" s="261">
        <f t="shared" si="5"/>
        <v>1715.5543551837966</v>
      </c>
      <c r="H34" s="288">
        <f t="shared" si="8"/>
        <v>1736.2693903485074</v>
      </c>
      <c r="I34" s="253">
        <f t="shared" si="7"/>
        <v>1738.1347028346709</v>
      </c>
      <c r="J34" s="253">
        <f t="shared" ref="J34:J52" si="9">GROWTH($H$33:$H$52,$O$33:$O$52,$O34,1)</f>
        <v>1719.7000455440661</v>
      </c>
      <c r="K34" s="253"/>
      <c r="L34" s="253"/>
      <c r="M34" s="2"/>
      <c r="N34" s="164">
        <f t="shared" si="2"/>
        <v>42916</v>
      </c>
      <c r="O34" s="165">
        <f t="shared" si="3"/>
        <v>2017.5</v>
      </c>
      <c r="P34" s="225"/>
      <c r="Q34" s="325">
        <f t="shared" si="6"/>
        <v>1556.058372048795</v>
      </c>
      <c r="R34" s="225"/>
    </row>
    <row r="35" spans="1:18" x14ac:dyDescent="0.2">
      <c r="A35" s="72" t="str">
        <f t="shared" si="1"/>
        <v>2017 / 3</v>
      </c>
      <c r="B35" s="166"/>
      <c r="C35" s="331">
        <f>'[3]TWIA 4 Premium Trend'!F47</f>
        <v>68864</v>
      </c>
      <c r="D35" s="332">
        <f>'[3]TWIA 4 Premium Trend'!E47</f>
        <v>108614623</v>
      </c>
      <c r="E35" s="333">
        <f>'[4]3.2 premium trend'!E35</f>
        <v>1.1025</v>
      </c>
      <c r="F35" s="268">
        <f t="shared" si="4"/>
        <v>119747621.8575</v>
      </c>
      <c r="G35" s="261">
        <f t="shared" si="5"/>
        <v>1738.9001779957598</v>
      </c>
      <c r="H35" s="288">
        <f>IFERROR(SUM(F32:F35)/SUM(C32:C35),0)</f>
        <v>1732.2611137162116</v>
      </c>
      <c r="I35" s="253">
        <f t="shared" si="7"/>
        <v>1740.6973770645636</v>
      </c>
      <c r="J35" s="253">
        <f t="shared" si="9"/>
        <v>1723.8506135279929</v>
      </c>
      <c r="K35" s="253"/>
      <c r="L35" s="253"/>
      <c r="M35" s="2"/>
      <c r="N35" s="164">
        <f t="shared" si="2"/>
        <v>43008</v>
      </c>
      <c r="O35" s="165">
        <f t="shared" si="3"/>
        <v>2017.75</v>
      </c>
      <c r="P35" s="225"/>
      <c r="Q35" s="325">
        <f t="shared" si="6"/>
        <v>1577.2337215381042</v>
      </c>
      <c r="R35" s="225"/>
    </row>
    <row r="36" spans="1:18" x14ac:dyDescent="0.2">
      <c r="A36" s="72" t="str">
        <f t="shared" si="1"/>
        <v>2017 / 4</v>
      </c>
      <c r="B36" s="50"/>
      <c r="C36" s="331">
        <f>'[3]TWIA 4 Premium Trend'!F48</f>
        <v>45960</v>
      </c>
      <c r="D36" s="332">
        <f>'[3]TWIA 4 Premium Trend'!E48</f>
        <v>73697340</v>
      </c>
      <c r="E36" s="333">
        <f>'[4]3.2 premium trend'!E36</f>
        <v>1.1025</v>
      </c>
      <c r="F36" s="268">
        <f t="shared" si="4"/>
        <v>81251317.350000009</v>
      </c>
      <c r="G36" s="261">
        <f t="shared" si="5"/>
        <v>1767.8702643603135</v>
      </c>
      <c r="H36" s="288">
        <f t="shared" si="8"/>
        <v>1730.8978230289567</v>
      </c>
      <c r="I36" s="253">
        <f t="shared" si="7"/>
        <v>1743.2638296547859</v>
      </c>
      <c r="J36" s="253">
        <f t="shared" si="9"/>
        <v>1728.0111990813464</v>
      </c>
      <c r="K36" s="253"/>
      <c r="L36" s="253"/>
      <c r="M36" s="2"/>
      <c r="N36" s="164">
        <f t="shared" si="2"/>
        <v>43100</v>
      </c>
      <c r="O36" s="165">
        <f t="shared" si="3"/>
        <v>2018</v>
      </c>
      <c r="P36" s="225"/>
      <c r="Q36" s="325">
        <f t="shared" si="6"/>
        <v>1603.5104438642297</v>
      </c>
      <c r="R36" s="225"/>
    </row>
    <row r="37" spans="1:18" x14ac:dyDescent="0.2">
      <c r="A37" s="72" t="str">
        <f t="shared" si="1"/>
        <v>2018 / 1</v>
      </c>
      <c r="B37" s="50"/>
      <c r="C37" s="331">
        <f>'[3]TWIA 4 Premium Trend'!F49</f>
        <v>44101</v>
      </c>
      <c r="D37" s="332">
        <f>'[3]TWIA 4 Premium Trend'!E49</f>
        <v>71679332</v>
      </c>
      <c r="E37" s="333">
        <f>'[4]3.2 premium trend'!E37</f>
        <v>1.05</v>
      </c>
      <c r="F37" s="268">
        <f t="shared" si="4"/>
        <v>75263298.600000009</v>
      </c>
      <c r="G37" s="261">
        <f t="shared" si="5"/>
        <v>1706.6120632185214</v>
      </c>
      <c r="H37" s="288">
        <f t="shared" si="8"/>
        <v>1731.1120117915707</v>
      </c>
      <c r="I37" s="253">
        <f t="shared" si="7"/>
        <v>1745.8340661760803</v>
      </c>
      <c r="J37" s="253">
        <f t="shared" si="9"/>
        <v>1732.1818263819378</v>
      </c>
      <c r="K37" s="253">
        <f>GROWTH($H$37:$H$52,$O$37:$O$52,$O37,1)</f>
        <v>1716.1066159791383</v>
      </c>
      <c r="L37" s="253"/>
      <c r="M37" s="2"/>
      <c r="N37" s="164">
        <f t="shared" si="2"/>
        <v>43190</v>
      </c>
      <c r="O37" s="165">
        <f t="shared" si="3"/>
        <v>2018.25</v>
      </c>
      <c r="P37" s="225"/>
      <c r="Q37" s="325">
        <f t="shared" si="6"/>
        <v>1625.3448221128772</v>
      </c>
      <c r="R37" s="225"/>
    </row>
    <row r="38" spans="1:18" x14ac:dyDescent="0.2">
      <c r="A38" s="72" t="str">
        <f t="shared" si="1"/>
        <v>2018 / 2</v>
      </c>
      <c r="B38" s="50"/>
      <c r="C38" s="331">
        <f>'[3]TWIA 4 Premium Trend'!F50</f>
        <v>63851</v>
      </c>
      <c r="D38" s="332">
        <f>'[3]TWIA 4 Premium Trend'!E50</f>
        <v>104163394</v>
      </c>
      <c r="E38" s="333">
        <f>'[4]3.2 premium trend'!E38</f>
        <v>1.05</v>
      </c>
      <c r="F38" s="268">
        <f t="shared" si="4"/>
        <v>109371563.7</v>
      </c>
      <c r="G38" s="261">
        <f t="shared" si="5"/>
        <v>1712.9185713614509</v>
      </c>
      <c r="H38" s="288">
        <f t="shared" si="8"/>
        <v>1731.0383591926418</v>
      </c>
      <c r="I38" s="253">
        <f t="shared" si="7"/>
        <v>1748.4080922074124</v>
      </c>
      <c r="J38" s="253">
        <f t="shared" si="9"/>
        <v>1736.3625196659555</v>
      </c>
      <c r="K38" s="253">
        <f t="shared" ref="K38:K52" si="10">GROWTH($H$37:$H$52,$O$37:$O$52,$O38,1)</f>
        <v>1721.9408096371847</v>
      </c>
      <c r="L38" s="253"/>
      <c r="M38" s="2"/>
      <c r="N38" s="164">
        <f t="shared" si="2"/>
        <v>43281</v>
      </c>
      <c r="O38" s="165">
        <f t="shared" si="3"/>
        <v>2018.5</v>
      </c>
      <c r="P38" s="225"/>
      <c r="Q38" s="325">
        <f t="shared" si="6"/>
        <v>1631.351020344239</v>
      </c>
      <c r="R38" s="225"/>
    </row>
    <row r="39" spans="1:18" x14ac:dyDescent="0.2">
      <c r="A39" s="72" t="str">
        <f t="shared" si="1"/>
        <v>2018 / 3</v>
      </c>
      <c r="B39" s="99"/>
      <c r="C39" s="331">
        <f>'[3]TWIA 4 Premium Trend'!F51</f>
        <v>61408</v>
      </c>
      <c r="D39" s="332">
        <f>'[3]TWIA 4 Premium Trend'!E51</f>
        <v>101951681</v>
      </c>
      <c r="E39" s="333">
        <f>'[4]3.2 premium trend'!E39</f>
        <v>1.05</v>
      </c>
      <c r="F39" s="268">
        <f t="shared" si="4"/>
        <v>107049265.05000001</v>
      </c>
      <c r="G39" s="261">
        <f t="shared" si="5"/>
        <v>1743.2462390893697</v>
      </c>
      <c r="H39" s="288">
        <f t="shared" si="8"/>
        <v>1732.0055949284788</v>
      </c>
      <c r="I39" s="253">
        <f t="shared" si="7"/>
        <v>1750.9859133359644</v>
      </c>
      <c r="J39" s="253">
        <f t="shared" si="9"/>
        <v>1740.5533032280655</v>
      </c>
      <c r="K39" s="253">
        <f t="shared" si="10"/>
        <v>1727.7948376198076</v>
      </c>
      <c r="L39" s="253"/>
      <c r="M39" s="2"/>
      <c r="N39" s="164">
        <f t="shared" si="2"/>
        <v>43373</v>
      </c>
      <c r="O39" s="165">
        <f t="shared" si="3"/>
        <v>2018.75</v>
      </c>
      <c r="P39" s="225"/>
      <c r="Q39" s="325">
        <f t="shared" si="6"/>
        <v>1660.234513418447</v>
      </c>
      <c r="R39" s="225"/>
    </row>
    <row r="40" spans="1:18" x14ac:dyDescent="0.2">
      <c r="A40" s="72" t="str">
        <f t="shared" si="1"/>
        <v>2018 / 4</v>
      </c>
      <c r="B40" s="50"/>
      <c r="C40" s="331">
        <f>'[3]TWIA 4 Premium Trend'!F52</f>
        <v>40418</v>
      </c>
      <c r="D40" s="332">
        <f>'[3]TWIA 4 Premium Trend'!E52</f>
        <v>68300637</v>
      </c>
      <c r="E40" s="333">
        <f>'[4]3.2 premium trend'!E40</f>
        <v>1.05</v>
      </c>
      <c r="F40" s="268">
        <f>D40*E40</f>
        <v>71715668.850000009</v>
      </c>
      <c r="G40" s="261">
        <f t="shared" si="5"/>
        <v>1774.3497661932804</v>
      </c>
      <c r="H40" s="288">
        <f t="shared" si="8"/>
        <v>1732.3065154592</v>
      </c>
      <c r="I40" s="253">
        <f t="shared" si="7"/>
        <v>1753.5675351571545</v>
      </c>
      <c r="J40" s="253">
        <f t="shared" si="9"/>
        <v>1744.7542014215705</v>
      </c>
      <c r="K40" s="253">
        <f t="shared" si="10"/>
        <v>1733.6687673571482</v>
      </c>
      <c r="L40" s="253"/>
      <c r="M40" s="2"/>
      <c r="N40" s="164">
        <f t="shared" si="2"/>
        <v>43465</v>
      </c>
      <c r="O40" s="165">
        <f t="shared" si="3"/>
        <v>2019</v>
      </c>
      <c r="P40" s="225"/>
      <c r="Q40" s="325">
        <f t="shared" si="6"/>
        <v>1689.8569201840764</v>
      </c>
      <c r="R40" s="225"/>
    </row>
    <row r="41" spans="1:18" x14ac:dyDescent="0.2">
      <c r="A41" s="72" t="str">
        <f t="shared" si="1"/>
        <v>2019 / 1</v>
      </c>
      <c r="B41" s="51"/>
      <c r="C41" s="331">
        <f>'[3]TWIA 4 Premium Trend'!F53</f>
        <v>39758</v>
      </c>
      <c r="D41" s="332">
        <f>'[3]TWIA 4 Premium Trend'!E53</f>
        <v>65036872</v>
      </c>
      <c r="E41" s="333">
        <f>'[4]3.2 premium trend'!E41</f>
        <v>1.05</v>
      </c>
      <c r="F41" s="268">
        <f t="shared" si="4"/>
        <v>68288715.600000009</v>
      </c>
      <c r="G41" s="261">
        <f t="shared" si="5"/>
        <v>1717.6094270335532</v>
      </c>
      <c r="H41" s="288">
        <f t="shared" si="8"/>
        <v>1734.9780378221824</v>
      </c>
      <c r="I41" s="253">
        <f t="shared" si="7"/>
        <v>1756.1529632746617</v>
      </c>
      <c r="J41" s="253">
        <f t="shared" si="9"/>
        <v>1748.9652386585681</v>
      </c>
      <c r="K41" s="253">
        <f t="shared" si="10"/>
        <v>1739.5626665085695</v>
      </c>
      <c r="L41" s="253">
        <f>GROWTH($H$41:$H$52,$O$41:$O$52,$O41,1)</f>
        <v>1727.9271258815768</v>
      </c>
      <c r="M41" s="2"/>
      <c r="N41" s="164">
        <f t="shared" si="2"/>
        <v>43555</v>
      </c>
      <c r="O41" s="165">
        <f t="shared" si="3"/>
        <v>2019.25</v>
      </c>
      <c r="P41" s="225"/>
      <c r="Q41" s="325">
        <f t="shared" si="6"/>
        <v>1635.8185019367172</v>
      </c>
      <c r="R41" s="225"/>
    </row>
    <row r="42" spans="1:18" x14ac:dyDescent="0.2">
      <c r="A42" s="72" t="str">
        <f t="shared" si="1"/>
        <v>2019 / 2</v>
      </c>
      <c r="B42" s="51"/>
      <c r="C42" s="331">
        <f>'[3]TWIA 4 Premium Trend'!F54</f>
        <v>60805</v>
      </c>
      <c r="D42" s="332">
        <f>'[3]TWIA 4 Premium Trend'!E54</f>
        <v>99948528</v>
      </c>
      <c r="E42" s="333">
        <f>'[4]3.2 premium trend'!E42</f>
        <v>1.05</v>
      </c>
      <c r="F42" s="268">
        <f t="shared" si="4"/>
        <v>104945954.40000001</v>
      </c>
      <c r="G42" s="261">
        <f t="shared" si="5"/>
        <v>1725.942840226955</v>
      </c>
      <c r="H42" s="288">
        <f t="shared" si="8"/>
        <v>1739.2230007559704</v>
      </c>
      <c r="I42" s="253">
        <f t="shared" si="7"/>
        <v>1758.7422033004136</v>
      </c>
      <c r="J42" s="253">
        <f t="shared" si="9"/>
        <v>1753.1864394100519</v>
      </c>
      <c r="K42" s="253">
        <f t="shared" si="10"/>
        <v>1745.4766029634607</v>
      </c>
      <c r="L42" s="253">
        <f t="shared" ref="L42:L51" si="11">GROWTH($H$41:$H$52,$O$41:$O$52,$O42,1)</f>
        <v>1735.5075545454092</v>
      </c>
      <c r="M42" s="2"/>
      <c r="N42" s="164">
        <f t="shared" si="2"/>
        <v>43646</v>
      </c>
      <c r="O42" s="165">
        <f t="shared" si="3"/>
        <v>2019.5</v>
      </c>
      <c r="P42" s="225"/>
      <c r="Q42" s="325">
        <f t="shared" si="6"/>
        <v>1643.7550859304333</v>
      </c>
      <c r="R42" s="225"/>
    </row>
    <row r="43" spans="1:18" x14ac:dyDescent="0.2">
      <c r="A43" s="72" t="str">
        <f t="shared" si="1"/>
        <v>2019 / 3</v>
      </c>
      <c r="B43" s="51"/>
      <c r="C43" s="331">
        <f>'[3]TWIA 4 Premium Trend'!F55</f>
        <v>57547</v>
      </c>
      <c r="D43" s="332">
        <f>'[3]TWIA 4 Premium Trend'!E55</f>
        <v>97063357</v>
      </c>
      <c r="E43" s="333">
        <f>'[4]3.2 premium trend'!E43</f>
        <v>1.05</v>
      </c>
      <c r="F43" s="268">
        <f t="shared" si="4"/>
        <v>101916524.85000001</v>
      </c>
      <c r="G43" s="261">
        <f t="shared" si="5"/>
        <v>1771.0136905485952</v>
      </c>
      <c r="H43" s="288">
        <f t="shared" si="8"/>
        <v>1747.1936638660543</v>
      </c>
      <c r="I43" s="253">
        <f t="shared" si="7"/>
        <v>1761.3352608546254</v>
      </c>
      <c r="J43" s="253">
        <f t="shared" si="9"/>
        <v>1757.4178282061011</v>
      </c>
      <c r="K43" s="253">
        <f t="shared" si="10"/>
        <v>1751.4106448420048</v>
      </c>
      <c r="L43" s="253">
        <f t="shared" si="11"/>
        <v>1743.1212386040249</v>
      </c>
      <c r="M43" s="2"/>
      <c r="N43" s="164">
        <f t="shared" si="2"/>
        <v>43738</v>
      </c>
      <c r="O43" s="165">
        <f t="shared" si="3"/>
        <v>2019.75</v>
      </c>
      <c r="P43" s="225"/>
      <c r="Q43" s="325">
        <f t="shared" si="6"/>
        <v>1686.6797052843763</v>
      </c>
      <c r="R43" s="225"/>
    </row>
    <row r="44" spans="1:18" x14ac:dyDescent="0.2">
      <c r="A44" s="72" t="str">
        <f t="shared" si="1"/>
        <v>2019 / 4</v>
      </c>
      <c r="B44" s="50"/>
      <c r="C44" s="331">
        <f>'[3]TWIA 4 Premium Trend'!F56</f>
        <v>38375</v>
      </c>
      <c r="D44" s="332">
        <f>'[3]TWIA 4 Premium Trend'!E56</f>
        <v>65697652</v>
      </c>
      <c r="E44" s="333">
        <f>'[4]3.2 premium trend'!E44</f>
        <v>1.05</v>
      </c>
      <c r="F44" s="268">
        <f t="shared" si="4"/>
        <v>68982534.600000009</v>
      </c>
      <c r="G44" s="261">
        <f t="shared" si="5"/>
        <v>1797.5904781758959</v>
      </c>
      <c r="H44" s="288">
        <f t="shared" si="8"/>
        <v>1751.4503878158641</v>
      </c>
      <c r="I44" s="253">
        <f t="shared" si="7"/>
        <v>1763.9321415657878</v>
      </c>
      <c r="J44" s="253">
        <f t="shared" si="9"/>
        <v>1761.6594296359815</v>
      </c>
      <c r="K44" s="253">
        <f t="shared" si="10"/>
        <v>1757.364860495991</v>
      </c>
      <c r="L44" s="253">
        <f t="shared" si="11"/>
        <v>1750.7683239490782</v>
      </c>
      <c r="M44" s="2"/>
      <c r="N44" s="164">
        <f t="shared" ref="N44:N51" si="12">DATE(YEAR(N45+1),MONTH(N45+1)-3,1)-1</f>
        <v>43830</v>
      </c>
      <c r="O44" s="165">
        <f t="shared" si="3"/>
        <v>2020</v>
      </c>
      <c r="P44" s="225"/>
      <c r="Q44" s="325">
        <f t="shared" si="6"/>
        <v>1711.9909315960913</v>
      </c>
      <c r="R44" s="225"/>
    </row>
    <row r="45" spans="1:18" x14ac:dyDescent="0.2">
      <c r="A45" s="72" t="str">
        <f t="shared" si="1"/>
        <v>2020 / 1</v>
      </c>
      <c r="B45" s="51"/>
      <c r="C45" s="331">
        <f>'[3]TWIA 4 Premium Trend'!F57</f>
        <v>38302</v>
      </c>
      <c r="D45" s="332">
        <f>'[3]TWIA 4 Premium Trend'!E57</f>
        <v>63498682</v>
      </c>
      <c r="E45" s="333">
        <f>'[4]3.2 premium trend'!E45</f>
        <v>1.05</v>
      </c>
      <c r="F45" s="268">
        <f t="shared" si="4"/>
        <v>66673616.100000001</v>
      </c>
      <c r="G45" s="261">
        <f t="shared" si="5"/>
        <v>1740.7345856613233</v>
      </c>
      <c r="H45" s="288">
        <f t="shared" si="8"/>
        <v>1756.2446095196101</v>
      </c>
      <c r="I45" s="253">
        <f t="shared" si="7"/>
        <v>1766.5328510706915</v>
      </c>
      <c r="J45" s="253">
        <f>GROWTH($H$33:$H$52,$O$33:$O$52,$O45,1)</f>
        <v>1765.9112683483056</v>
      </c>
      <c r="K45" s="253">
        <f>GROWTH($H$37:$H$52,$O$37:$O$52,$O45,1)</f>
        <v>1763.3393185095622</v>
      </c>
      <c r="L45" s="253">
        <f>GROWTH($H$41:$H$52,$O$41:$O$52,$O45,1)</f>
        <v>1758.4489571122519</v>
      </c>
      <c r="M45" s="2"/>
      <c r="N45" s="164">
        <f t="shared" si="12"/>
        <v>43921</v>
      </c>
      <c r="O45" s="165">
        <f t="shared" si="3"/>
        <v>2020.25</v>
      </c>
      <c r="P45" s="291"/>
      <c r="Q45" s="325">
        <f t="shared" si="6"/>
        <v>1657.8424625345936</v>
      </c>
      <c r="R45" s="225"/>
    </row>
    <row r="46" spans="1:18" x14ac:dyDescent="0.2">
      <c r="A46" s="72" t="str">
        <f t="shared" si="1"/>
        <v>2020 / 2</v>
      </c>
      <c r="B46" s="51"/>
      <c r="C46" s="331">
        <f>'[3]TWIA 4 Premium Trend'!F58</f>
        <v>59374</v>
      </c>
      <c r="D46" s="332">
        <f>'[3]TWIA 4 Premium Trend'!E58</f>
        <v>98472763</v>
      </c>
      <c r="E46" s="333">
        <f>'[4]3.2 premium trend'!E46</f>
        <v>1.05</v>
      </c>
      <c r="F46" s="268">
        <f>D46*E46</f>
        <v>103396401.15000001</v>
      </c>
      <c r="G46" s="261">
        <f t="shared" si="5"/>
        <v>1741.4424015562367</v>
      </c>
      <c r="H46" s="288">
        <f t="shared" si="8"/>
        <v>1761.2221030175933</v>
      </c>
      <c r="I46" s="253">
        <f t="shared" si="7"/>
        <v>1769.1373950144459</v>
      </c>
      <c r="J46" s="253">
        <f t="shared" si="9"/>
        <v>1770.1733690511953</v>
      </c>
      <c r="K46" s="253">
        <f t="shared" si="10"/>
        <v>1769.3340877000317</v>
      </c>
      <c r="L46" s="253">
        <f t="shared" si="11"/>
        <v>1766.1632852680648</v>
      </c>
      <c r="M46" s="2"/>
      <c r="N46" s="164">
        <f t="shared" si="12"/>
        <v>44012</v>
      </c>
      <c r="O46" s="165">
        <f t="shared" si="3"/>
        <v>2020.5</v>
      </c>
      <c r="P46" s="291"/>
      <c r="Q46" s="325">
        <f t="shared" si="6"/>
        <v>1658.5165729107016</v>
      </c>
      <c r="R46" s="225"/>
    </row>
    <row r="47" spans="1:18" x14ac:dyDescent="0.2">
      <c r="A47" s="72" t="str">
        <f t="shared" si="1"/>
        <v>2020 / 3</v>
      </c>
      <c r="B47" s="51"/>
      <c r="C47" s="331">
        <f>'[3]TWIA 4 Premium Trend'!F59</f>
        <v>57963</v>
      </c>
      <c r="D47" s="332">
        <f>'[3]TWIA 4 Premium Trend'!E59</f>
        <v>98544861</v>
      </c>
      <c r="E47" s="333">
        <f>'[4]3.2 premium trend'!E47</f>
        <v>1.05</v>
      </c>
      <c r="F47" s="268">
        <f t="shared" si="4"/>
        <v>103472104.05</v>
      </c>
      <c r="G47" s="261">
        <f>F47/C47</f>
        <v>1785.1405905491433</v>
      </c>
      <c r="H47" s="288">
        <f t="shared" si="8"/>
        <v>1765.4636052037483</v>
      </c>
      <c r="I47" s="253">
        <f t="shared" si="7"/>
        <v>1771.7457790504725</v>
      </c>
      <c r="J47" s="253">
        <f t="shared" si="9"/>
        <v>1774.4457565123814</v>
      </c>
      <c r="K47" s="253">
        <f t="shared" si="10"/>
        <v>1775.349237118668</v>
      </c>
      <c r="L47" s="253">
        <f t="shared" si="11"/>
        <v>1773.9114562366894</v>
      </c>
      <c r="M47" s="2"/>
      <c r="N47" s="164">
        <f t="shared" si="12"/>
        <v>44104</v>
      </c>
      <c r="O47" s="165">
        <f t="shared" si="3"/>
        <v>2020.75</v>
      </c>
      <c r="P47" s="291"/>
      <c r="Q47" s="325">
        <f t="shared" si="6"/>
        <v>1700.133895761089</v>
      </c>
      <c r="R47" s="225"/>
    </row>
    <row r="48" spans="1:18" x14ac:dyDescent="0.2">
      <c r="A48" s="212" t="str">
        <f t="shared" si="1"/>
        <v>2020 / 4</v>
      </c>
      <c r="B48" s="51"/>
      <c r="C48" s="331">
        <f>'[3]TWIA 4 Premium Trend'!F60</f>
        <v>37911</v>
      </c>
      <c r="D48" s="332">
        <f>'[3]TWIA 4 Premium Trend'!E60</f>
        <v>65820531</v>
      </c>
      <c r="E48" s="333">
        <f>'[4]3.2 premium trend'!E48</f>
        <v>1.05</v>
      </c>
      <c r="F48" s="268">
        <f t="shared" si="4"/>
        <v>69111557.549999997</v>
      </c>
      <c r="G48" s="261">
        <f t="shared" si="5"/>
        <v>1822.9948445042335</v>
      </c>
      <c r="H48" s="288">
        <f t="shared" si="8"/>
        <v>1770.362587703436</v>
      </c>
      <c r="I48" s="253">
        <f t="shared" si="7"/>
        <v>1774.3580088405397</v>
      </c>
      <c r="J48" s="253">
        <f t="shared" si="9"/>
        <v>1778.7284555593978</v>
      </c>
      <c r="K48" s="253">
        <f t="shared" si="10"/>
        <v>1781.3848360514851</v>
      </c>
      <c r="L48" s="253">
        <f t="shared" si="11"/>
        <v>1781.6936184867757</v>
      </c>
      <c r="M48" s="2"/>
      <c r="N48" s="164">
        <f t="shared" si="12"/>
        <v>44196</v>
      </c>
      <c r="O48" s="165">
        <f t="shared" si="3"/>
        <v>2021</v>
      </c>
      <c r="P48" s="291"/>
      <c r="Q48" s="325">
        <f t="shared" si="6"/>
        <v>1736.1855661945083</v>
      </c>
      <c r="R48" s="225"/>
    </row>
    <row r="49" spans="1:18" x14ac:dyDescent="0.2">
      <c r="A49" s="212" t="str">
        <f>YEAR(N49)&amp;" / "&amp;MONTH(N49)/3</f>
        <v>2021 / 1</v>
      </c>
      <c r="B49" s="51"/>
      <c r="C49" s="331">
        <f>'[3]TWIA 4 Premium Trend'!F61</f>
        <v>39057</v>
      </c>
      <c r="D49" s="332">
        <f>'[3]TWIA 4 Premium Trend'!E61</f>
        <v>66582420</v>
      </c>
      <c r="E49" s="333">
        <f>'[4]3.2 premium trend'!E49</f>
        <v>1.05</v>
      </c>
      <c r="F49" s="268">
        <f t="shared" si="4"/>
        <v>69911541</v>
      </c>
      <c r="G49" s="261">
        <f t="shared" si="5"/>
        <v>1789.9874798371611</v>
      </c>
      <c r="H49" s="288">
        <f t="shared" si="8"/>
        <v>1780.1477252258048</v>
      </c>
      <c r="I49" s="253">
        <f t="shared" si="7"/>
        <v>1776.9740900547538</v>
      </c>
      <c r="J49" s="253">
        <f t="shared" si="9"/>
        <v>1783.0214910796822</v>
      </c>
      <c r="K49" s="253">
        <f t="shared" si="10"/>
        <v>1787.4409540200661</v>
      </c>
      <c r="L49" s="253">
        <f t="shared" si="11"/>
        <v>1789.5099211383435</v>
      </c>
      <c r="M49" s="2"/>
      <c r="N49" s="164">
        <f t="shared" si="12"/>
        <v>44286</v>
      </c>
      <c r="O49" s="165">
        <f>YEAR(N49)+MONTH(N49)/12</f>
        <v>2021.25</v>
      </c>
      <c r="P49" s="225"/>
      <c r="Q49" s="325">
        <f t="shared" si="6"/>
        <v>1704.7499807972963</v>
      </c>
      <c r="R49" s="225"/>
    </row>
    <row r="50" spans="1:18" x14ac:dyDescent="0.2">
      <c r="A50" s="212" t="str">
        <f>YEAR(N50)&amp;" / "&amp;MONTH(N50)/3</f>
        <v>2021 / 2</v>
      </c>
      <c r="B50" s="51"/>
      <c r="C50" s="331">
        <f>'[3]TWIA 4 Premium Trend'!F62</f>
        <v>60541</v>
      </c>
      <c r="D50" s="332">
        <f>'[3]TWIA 4 Premium Trend'!E62</f>
        <v>103031428</v>
      </c>
      <c r="E50" s="333">
        <f>'[4]3.2 premium trend'!E50</f>
        <v>1.05</v>
      </c>
      <c r="F50" s="268">
        <f t="shared" si="4"/>
        <v>108182999.40000001</v>
      </c>
      <c r="G50" s="261">
        <f t="shared" si="5"/>
        <v>1786.9377677937266</v>
      </c>
      <c r="H50" s="288">
        <f t="shared" si="8"/>
        <v>1794.0073360890563</v>
      </c>
      <c r="I50" s="253">
        <f t="shared" si="7"/>
        <v>1779.5940283715815</v>
      </c>
      <c r="J50" s="253">
        <f t="shared" si="9"/>
        <v>1787.3248880207386</v>
      </c>
      <c r="K50" s="253">
        <f t="shared" si="10"/>
        <v>1793.5176607823244</v>
      </c>
      <c r="L50" s="253">
        <f t="shared" si="11"/>
        <v>1797.3605139655667</v>
      </c>
      <c r="M50" s="2"/>
      <c r="N50" s="164">
        <f t="shared" si="12"/>
        <v>44377</v>
      </c>
      <c r="O50" s="165">
        <f>YEAR(N50)+MONTH(N50)/12</f>
        <v>2021.5</v>
      </c>
      <c r="P50" s="225"/>
      <c r="Q50" s="325">
        <f t="shared" si="6"/>
        <v>1701.8454931368824</v>
      </c>
      <c r="R50" s="225"/>
    </row>
    <row r="51" spans="1:18" x14ac:dyDescent="0.2">
      <c r="A51" s="212" t="str">
        <f>YEAR(N51)&amp;" / "&amp;MONTH(N51)/3</f>
        <v>2021 / 3</v>
      </c>
      <c r="B51" s="51"/>
      <c r="C51" s="331">
        <f>'[3]TWIA 4 Premium Trend'!F63</f>
        <v>59878</v>
      </c>
      <c r="D51" s="332">
        <f>'[3]TWIA 4 Premium Trend'!E63</f>
        <v>105341091</v>
      </c>
      <c r="E51" s="333">
        <f>'[4]3.2 premium trend'!E51</f>
        <v>1.05</v>
      </c>
      <c r="F51" s="268">
        <f t="shared" si="4"/>
        <v>110608145.55000001</v>
      </c>
      <c r="G51" s="261">
        <f t="shared" si="5"/>
        <v>1847.2251169043725</v>
      </c>
      <c r="H51" s="288">
        <f t="shared" si="8"/>
        <v>1812.7548597425362</v>
      </c>
      <c r="I51" s="253">
        <f t="shared" si="7"/>
        <v>1782.2178294778719</v>
      </c>
      <c r="J51" s="253">
        <f t="shared" si="9"/>
        <v>1791.6386713903016</v>
      </c>
      <c r="K51" s="253">
        <f t="shared" si="10"/>
        <v>1799.6150263333334</v>
      </c>
      <c r="L51" s="253">
        <f t="shared" si="11"/>
        <v>1805.2455473996902</v>
      </c>
      <c r="M51" s="2"/>
      <c r="N51" s="164">
        <f t="shared" si="12"/>
        <v>44469</v>
      </c>
      <c r="O51" s="165">
        <f>YEAR(N51)+MONTH(N51)/12</f>
        <v>2021.75</v>
      </c>
      <c r="P51" s="225"/>
      <c r="Q51" s="325">
        <f t="shared" si="6"/>
        <v>1759.2620160994022</v>
      </c>
      <c r="R51" s="225"/>
    </row>
    <row r="52" spans="1:18" x14ac:dyDescent="0.2">
      <c r="A52" s="212" t="str">
        <f>YEAR(N52)&amp;" / "&amp;MONTH(N52)/3</f>
        <v>2021 / 4</v>
      </c>
      <c r="B52" s="51"/>
      <c r="C52" s="331">
        <f>'[3]TWIA 4 Premium Trend'!F64</f>
        <v>39807</v>
      </c>
      <c r="D52" s="332">
        <f>'[3]TWIA 4 Premium Trend'!E64</f>
        <v>72365308</v>
      </c>
      <c r="E52" s="333">
        <f>'[4]3.2 premium trend'!E52</f>
        <v>1.05</v>
      </c>
      <c r="F52" s="268">
        <f>D52*E52</f>
        <v>75983573.400000006</v>
      </c>
      <c r="G52" s="261">
        <f t="shared" si="5"/>
        <v>1908.7992915818827</v>
      </c>
      <c r="H52" s="288">
        <f>IFERROR(SUM(F49:F52)/SUM(C49:C52),0)</f>
        <v>1829.9918174154345</v>
      </c>
      <c r="I52" s="253">
        <f>GROWTH($H$17:$H$52,$O$17:$O$52,$O52,1)</f>
        <v>1784.8454990688474</v>
      </c>
      <c r="J52" s="253">
        <f t="shared" si="9"/>
        <v>1795.9628662564392</v>
      </c>
      <c r="K52" s="253">
        <f t="shared" si="10"/>
        <v>1805.7331209061217</v>
      </c>
      <c r="L52" s="253">
        <f>GROWTH($H$41:$H$52,$O$41:$O$52,$O52,1)</f>
        <v>1813.1651725319036</v>
      </c>
      <c r="M52" s="2"/>
      <c r="N52" s="93">
        <v>44561</v>
      </c>
      <c r="O52" s="165">
        <f>YEAR(N52)+MONTH(N52)/12</f>
        <v>2022</v>
      </c>
      <c r="P52" s="225"/>
      <c r="Q52" s="325">
        <f t="shared" si="6"/>
        <v>1817.9040872208407</v>
      </c>
      <c r="R52" s="225"/>
    </row>
    <row r="53" spans="1:18" x14ac:dyDescent="0.2">
      <c r="A53" s="169"/>
      <c r="B53" s="26"/>
      <c r="C53" s="242"/>
      <c r="D53" s="171"/>
      <c r="E53" s="175"/>
      <c r="F53" s="171"/>
      <c r="G53" s="167"/>
      <c r="H53" s="167"/>
      <c r="I53" s="172"/>
      <c r="J53" s="172"/>
      <c r="K53" s="172"/>
      <c r="L53" s="172"/>
      <c r="M53" s="2"/>
    </row>
    <row r="54" spans="1:18" x14ac:dyDescent="0.2">
      <c r="A54" s="212"/>
      <c r="B54" s="51"/>
      <c r="C54" s="243"/>
      <c r="D54" s="170"/>
      <c r="E54" s="214"/>
      <c r="F54" s="213"/>
      <c r="G54" s="215"/>
      <c r="H54" s="215"/>
      <c r="I54" s="216"/>
      <c r="J54" s="216"/>
      <c r="K54" s="216"/>
      <c r="L54" s="216"/>
      <c r="M54" s="2"/>
      <c r="N54" s="93"/>
      <c r="O54" s="165"/>
    </row>
    <row r="55" spans="1:18" x14ac:dyDescent="0.2">
      <c r="A55" s="217" t="s">
        <v>275</v>
      </c>
      <c r="B55" s="50" t="s">
        <v>291</v>
      </c>
      <c r="C55" s="113"/>
      <c r="D55" s="50"/>
      <c r="E55" s="50"/>
      <c r="F55" s="50"/>
      <c r="G55" s="50"/>
      <c r="H55" s="50"/>
      <c r="I55" s="62">
        <f>LOGEST($I$18:$I$52,$O$18:$O$52,1,1)-1</f>
        <v>5.9105829691943335E-3</v>
      </c>
      <c r="J55" s="62">
        <f>LOGEST($J$33:$J$52,$O$33:$O$52,1,1)-1</f>
        <v>9.6891746703537951E-3</v>
      </c>
      <c r="K55" s="62">
        <f>LOGEST($K$37:$K$52,$O$37:$O$52,1,1)-1</f>
        <v>1.3668177903998435E-2</v>
      </c>
      <c r="L55" s="62">
        <f>LOGEST($L$41:$L$52,$O$41:$O$52,1,1)-1</f>
        <v>1.7663841705764849E-2</v>
      </c>
      <c r="M55" s="2"/>
      <c r="N55" s="168"/>
    </row>
    <row r="56" spans="1:18" x14ac:dyDescent="0.2">
      <c r="A56" s="103" t="s">
        <v>206</v>
      </c>
      <c r="B56" s="50" t="s">
        <v>290</v>
      </c>
      <c r="C56" s="46"/>
      <c r="D56" s="19"/>
      <c r="E56"/>
      <c r="F56" s="19"/>
      <c r="G56" s="19"/>
      <c r="H56" s="19"/>
      <c r="I56" s="62">
        <f>INDEX(LOGEST($H$17:$H$52,$O$17:$O$52,1,1),3,1)</f>
        <v>0.76466314430719973</v>
      </c>
      <c r="J56" s="62">
        <f>INDEX(LOGEST($H$33:$H$52,$O$33:$O$52,1,1),3,1)</f>
        <v>0.75755378619488489</v>
      </c>
      <c r="K56" s="62">
        <f>INDEX(LOGEST($H$37:$H$52,$O$37:$O$52,1,1),3,1)</f>
        <v>0.88638264041138148</v>
      </c>
      <c r="L56" s="62">
        <f>INDEX(LOGEST($H$41:$H$52,$O$41:$O$52,1,1),3,1)</f>
        <v>0.9215593014794653</v>
      </c>
      <c r="M56" s="2"/>
    </row>
    <row r="57" spans="1:18" x14ac:dyDescent="0.2">
      <c r="A57"/>
      <c r="C57" s="46"/>
      <c r="D57" s="19"/>
      <c r="E57"/>
      <c r="F57" s="19"/>
      <c r="G57" s="19"/>
      <c r="H57" s="19"/>
      <c r="I57" s="19"/>
      <c r="J57" s="19"/>
      <c r="K57" s="19"/>
      <c r="L57" s="19"/>
      <c r="M57" s="2"/>
    </row>
    <row r="58" spans="1:18" x14ac:dyDescent="0.2">
      <c r="A58" s="103" t="s">
        <v>292</v>
      </c>
      <c r="B58" s="12" t="s">
        <v>223</v>
      </c>
      <c r="C58" s="46"/>
      <c r="D58" s="19"/>
      <c r="F58" s="19"/>
      <c r="G58" s="19"/>
      <c r="H58" s="19"/>
      <c r="I58" s="19"/>
      <c r="J58" s="19"/>
      <c r="K58" s="19"/>
      <c r="L58" s="364">
        <f>AVERAGE(J55:L55)</f>
        <v>1.3673731426705693E-2</v>
      </c>
      <c r="M58" s="2"/>
    </row>
    <row r="59" spans="1:18" ht="10.5" thickBot="1" x14ac:dyDescent="0.25">
      <c r="A59" s="6"/>
      <c r="B59" s="6"/>
      <c r="C59" s="198"/>
      <c r="D59" s="6"/>
      <c r="E59" s="6"/>
      <c r="F59" s="6"/>
      <c r="G59" s="6"/>
      <c r="H59" s="6"/>
      <c r="I59" s="6"/>
      <c r="J59" s="6"/>
      <c r="K59" s="6"/>
      <c r="L59" s="6"/>
      <c r="M59" s="2"/>
    </row>
    <row r="60" spans="1:18" ht="10.5" thickTop="1" x14ac:dyDescent="0.2">
      <c r="A60"/>
      <c r="B60"/>
      <c r="C60" s="11"/>
      <c r="D60"/>
      <c r="E60"/>
      <c r="F60"/>
      <c r="G60"/>
      <c r="H60"/>
      <c r="I60"/>
      <c r="J60"/>
      <c r="K60"/>
      <c r="L60"/>
      <c r="M60" s="2"/>
    </row>
    <row r="61" spans="1:18" x14ac:dyDescent="0.2">
      <c r="A61" s="25" t="s">
        <v>17</v>
      </c>
      <c r="B61" s="25"/>
      <c r="C61" s="245" t="str">
        <f>C12&amp;" Provided by TWIA"</f>
        <v>(2) Provided by TWIA</v>
      </c>
      <c r="D61" s="247"/>
      <c r="E61" s="246"/>
      <c r="F61" s="25"/>
      <c r="G61" s="290" t="s">
        <v>341</v>
      </c>
      <c r="I61"/>
      <c r="J61"/>
      <c r="K61"/>
      <c r="L61"/>
      <c r="M61" s="2"/>
    </row>
    <row r="62" spans="1:18" x14ac:dyDescent="0.2">
      <c r="A62" s="25"/>
      <c r="B62" s="248"/>
      <c r="C62" s="245" t="str">
        <f>D12&amp;" Provided by TWIA"</f>
        <v>(3) Provided by TWIA</v>
      </c>
      <c r="D62" s="247"/>
      <c r="E62" s="246"/>
      <c r="F62" s="247"/>
      <c r="G62" s="22" t="str">
        <f>I12&amp;" - "&amp;L12&amp;" = "&amp;G12&amp;" fitted to an exponential distribution"</f>
        <v>(8) - (11) = (6) fitted to an exponential distribution</v>
      </c>
      <c r="H62" s="22"/>
      <c r="I62" s="96"/>
      <c r="J62" s="96"/>
      <c r="K62" s="96"/>
      <c r="L62"/>
      <c r="M62" s="2"/>
    </row>
    <row r="63" spans="1:18" x14ac:dyDescent="0.2">
      <c r="A63" s="247"/>
      <c r="B63" s="154"/>
      <c r="C63" s="245" t="str">
        <f>E12&amp;" Cumulative effect of annual rate changes"</f>
        <v>(4) Cumulative effect of annual rate changes</v>
      </c>
      <c r="D63" s="246"/>
      <c r="E63" s="247"/>
      <c r="F63" s="248"/>
      <c r="G63" s="154" t="str">
        <f>'3.2 premium trend'!A55&amp;" Fitted average annual change"</f>
        <v>(14) Fitted average annual change</v>
      </c>
      <c r="H63" s="154"/>
      <c r="I63" s="96"/>
      <c r="J63" s="96"/>
      <c r="K63" s="96"/>
      <c r="L63"/>
      <c r="M63" s="2"/>
    </row>
    <row r="64" spans="1:18" x14ac:dyDescent="0.2">
      <c r="A64" s="249"/>
      <c r="B64" s="247"/>
      <c r="C64" s="245" t="str">
        <f>F12&amp;" = "&amp;D12&amp;" * "&amp;E12</f>
        <v>(5) = (3) * (4)</v>
      </c>
      <c r="D64" s="247"/>
      <c r="E64" s="247"/>
      <c r="F64" s="248"/>
      <c r="G64" s="154" t="str">
        <f>'3.2 premium trend'!A56&amp;" Evaluates the predictability of the fitted curve"</f>
        <v>(15) Evaluates the predictability of the fitted curve</v>
      </c>
      <c r="H64" s="154"/>
      <c r="I64" s="96"/>
      <c r="J64" s="96"/>
      <c r="K64" s="96"/>
      <c r="L64"/>
      <c r="M64" s="2"/>
    </row>
    <row r="65" spans="1:13" x14ac:dyDescent="0.2">
      <c r="A65" s="25"/>
      <c r="B65" s="248"/>
      <c r="C65" s="249" t="s">
        <v>340</v>
      </c>
      <c r="D65" s="25"/>
      <c r="E65" s="25"/>
      <c r="F65" s="247"/>
      <c r="G65" s="154" t="str">
        <f>'3.2 premium trend'!A58&amp;" Selected based on judgment"</f>
        <v>(16) Selected based on judgment</v>
      </c>
      <c r="H65" s="154"/>
      <c r="I65" s="96"/>
      <c r="J65" s="96"/>
      <c r="K65" s="96"/>
      <c r="L65"/>
      <c r="M65" s="2"/>
    </row>
    <row r="66" spans="1:13" x14ac:dyDescent="0.2">
      <c r="A66" s="247"/>
      <c r="B66" s="154"/>
      <c r="C66" s="245"/>
      <c r="D66" s="247"/>
      <c r="E66" s="247"/>
      <c r="F66" s="247"/>
      <c r="L66"/>
      <c r="M66" s="2"/>
    </row>
    <row r="67" spans="1:13" x14ac:dyDescent="0.2">
      <c r="A67" s="247"/>
      <c r="B67" s="154"/>
      <c r="C67" s="245"/>
      <c r="D67" s="247"/>
      <c r="E67" s="247"/>
      <c r="F67" s="247"/>
      <c r="L67"/>
      <c r="M67" s="2"/>
    </row>
    <row r="68" spans="1:13" x14ac:dyDescent="0.2">
      <c r="A68" s="51"/>
      <c r="B68" s="247"/>
      <c r="C68" s="247"/>
      <c r="D68" s="250"/>
      <c r="E68" s="250"/>
      <c r="F68" s="251"/>
      <c r="G68" s="102"/>
      <c r="H68" s="102"/>
      <c r="I68" s="102"/>
      <c r="J68" s="102"/>
      <c r="K68" s="102"/>
      <c r="L68"/>
      <c r="M68" s="2"/>
    </row>
    <row r="69" spans="1:13" x14ac:dyDescent="0.2">
      <c r="A69" s="50"/>
      <c r="D69" s="50"/>
      <c r="E69" s="50"/>
      <c r="F69" s="50"/>
      <c r="G69" s="58"/>
      <c r="H69" s="58"/>
      <c r="I69" s="58"/>
      <c r="J69" s="58"/>
      <c r="K69" s="58"/>
      <c r="L69"/>
      <c r="M69" s="2"/>
    </row>
    <row r="70" spans="1:13" ht="10.5" thickBot="1" x14ac:dyDescent="0.25">
      <c r="A70"/>
      <c r="D70" s="19"/>
      <c r="E70"/>
      <c r="F70" s="19"/>
      <c r="G70" s="19"/>
      <c r="H70" s="19"/>
      <c r="I70" s="19"/>
      <c r="J70" s="19"/>
      <c r="K70" s="19"/>
      <c r="L70" s="19"/>
      <c r="M70" s="2"/>
    </row>
    <row r="71" spans="1:13" ht="10.5" thickBot="1" x14ac:dyDescent="0.25">
      <c r="A71" s="4"/>
      <c r="B71" s="5"/>
      <c r="C71" s="199"/>
      <c r="D71" s="5"/>
      <c r="E71" s="5"/>
      <c r="F71" s="5"/>
      <c r="G71" s="5"/>
      <c r="H71" s="5"/>
      <c r="I71" s="5"/>
      <c r="J71" s="5"/>
      <c r="K71" s="5"/>
      <c r="L71" s="5"/>
      <c r="M71" s="3"/>
    </row>
  </sheetData>
  <phoneticPr fontId="0" type="noConversion"/>
  <pageMargins left="0.5" right="0.5" top="0.5" bottom="0.5" header="0.5" footer="0.5"/>
  <pageSetup scale="89" orientation="portrait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7">
    <tabColor rgb="FF92D050"/>
  </sheetPr>
  <dimension ref="A1:Q69"/>
  <sheetViews>
    <sheetView showGridLines="0" topLeftCell="A28" workbookViewId="0">
      <selection activeCell="D28" sqref="D28"/>
    </sheetView>
  </sheetViews>
  <sheetFormatPr defaultColWidth="11.33203125" defaultRowHeight="10" x14ac:dyDescent="0.2"/>
  <cols>
    <col min="1" max="1" width="3.44140625" style="12" customWidth="1"/>
    <col min="2" max="2" width="10.6640625" style="12" customWidth="1"/>
    <col min="3" max="11" width="11.33203125" style="12" customWidth="1"/>
    <col min="12" max="12" width="5.109375" style="12" customWidth="1"/>
    <col min="13" max="16384" width="11.33203125" style="12"/>
  </cols>
  <sheetData>
    <row r="1" spans="1:17" ht="10.5" x14ac:dyDescent="0.25">
      <c r="A1" s="8" t="str">
        <f>'1'!$A$1</f>
        <v>Texas Windstorm Insurance Association</v>
      </c>
      <c r="C1"/>
      <c r="D1"/>
      <c r="E1"/>
      <c r="F1"/>
      <c r="G1"/>
      <c r="H1"/>
      <c r="I1"/>
      <c r="J1"/>
      <c r="K1"/>
      <c r="L1" s="7" t="s">
        <v>67</v>
      </c>
      <c r="M1" s="1"/>
      <c r="P1" s="12" t="s">
        <v>428</v>
      </c>
      <c r="Q1" s="12" t="s">
        <v>432</v>
      </c>
    </row>
    <row r="2" spans="1:17" ht="10.5" x14ac:dyDescent="0.25">
      <c r="A2" s="8" t="str">
        <f>'1'!$A$2</f>
        <v>Residential Property - Wind &amp; Hail</v>
      </c>
      <c r="C2"/>
      <c r="D2"/>
      <c r="E2"/>
      <c r="F2"/>
      <c r="G2"/>
      <c r="H2"/>
      <c r="I2"/>
      <c r="J2"/>
      <c r="K2"/>
      <c r="L2" s="7" t="s">
        <v>51</v>
      </c>
      <c r="M2" s="2"/>
    </row>
    <row r="3" spans="1:17" ht="10.5" x14ac:dyDescent="0.25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7" x14ac:dyDescent="0.2">
      <c r="A4" s="105" t="s">
        <v>236</v>
      </c>
      <c r="C4"/>
      <c r="D4"/>
      <c r="E4"/>
      <c r="F4"/>
      <c r="G4"/>
      <c r="H4"/>
      <c r="I4"/>
      <c r="J4"/>
      <c r="K4"/>
      <c r="L4"/>
      <c r="M4" s="2"/>
    </row>
    <row r="5" spans="1:17" x14ac:dyDescent="0.2">
      <c r="A5" s="105" t="s">
        <v>237</v>
      </c>
      <c r="C5"/>
      <c r="D5"/>
      <c r="E5"/>
      <c r="F5"/>
      <c r="G5"/>
      <c r="H5"/>
      <c r="I5"/>
      <c r="J5"/>
      <c r="K5"/>
      <c r="L5"/>
      <c r="M5" s="2"/>
    </row>
    <row r="6" spans="1:17" x14ac:dyDescent="0.2">
      <c r="A6"/>
      <c r="B6"/>
      <c r="C6"/>
      <c r="D6"/>
      <c r="E6"/>
      <c r="F6"/>
      <c r="G6"/>
      <c r="H6"/>
      <c r="I6"/>
      <c r="J6"/>
      <c r="K6"/>
      <c r="L6"/>
      <c r="M6" s="2"/>
    </row>
    <row r="7" spans="1:17" ht="10.5" thickBot="1" x14ac:dyDescent="0.25">
      <c r="A7" s="6"/>
      <c r="B7" s="6"/>
      <c r="C7" s="6"/>
      <c r="D7" s="6"/>
      <c r="E7" s="6"/>
      <c r="F7" s="6"/>
      <c r="G7" s="50"/>
      <c r="H7" s="50"/>
      <c r="I7" s="50"/>
      <c r="J7" s="50"/>
      <c r="K7" s="50"/>
      <c r="L7" s="50"/>
      <c r="M7" s="2"/>
    </row>
    <row r="8" spans="1:17" ht="10.5" thickTop="1" x14ac:dyDescent="0.2">
      <c r="A8"/>
      <c r="B8"/>
      <c r="C8"/>
      <c r="D8"/>
      <c r="E8"/>
      <c r="F8"/>
      <c r="G8" s="50"/>
      <c r="H8" s="50"/>
      <c r="I8" s="50"/>
      <c r="J8" s="50"/>
      <c r="K8" s="50"/>
      <c r="L8" s="50"/>
      <c r="M8" s="2"/>
      <c r="N8" t="s">
        <v>217</v>
      </c>
    </row>
    <row r="9" spans="1:17" x14ac:dyDescent="0.2">
      <c r="A9" t="s">
        <v>239</v>
      </c>
      <c r="B9"/>
      <c r="C9" s="22"/>
      <c r="D9"/>
      <c r="E9"/>
      <c r="F9"/>
      <c r="G9"/>
      <c r="H9"/>
      <c r="I9"/>
      <c r="J9"/>
      <c r="K9"/>
      <c r="L9"/>
      <c r="M9" s="2"/>
      <c r="N9" s="89">
        <v>44469</v>
      </c>
    </row>
    <row r="10" spans="1:17" x14ac:dyDescent="0.2">
      <c r="A10" t="s">
        <v>34</v>
      </c>
      <c r="B10"/>
      <c r="C10" t="s">
        <v>240</v>
      </c>
      <c r="D10" t="s">
        <v>241</v>
      </c>
      <c r="E10" t="s">
        <v>242</v>
      </c>
      <c r="F10" t="s">
        <v>133</v>
      </c>
      <c r="G10"/>
      <c r="H10"/>
      <c r="I10"/>
      <c r="J10"/>
      <c r="K10"/>
      <c r="L10"/>
      <c r="M10" s="2"/>
      <c r="O10" t="s">
        <v>243</v>
      </c>
      <c r="Q10"/>
    </row>
    <row r="11" spans="1:17" x14ac:dyDescent="0.2">
      <c r="A11" s="9" t="str">
        <f>TEXT($N$9,"m/d/xx")</f>
        <v>9/30/xx</v>
      </c>
      <c r="B11" s="9"/>
      <c r="C11" s="9" t="s">
        <v>244</v>
      </c>
      <c r="D11" s="9" t="s">
        <v>244</v>
      </c>
      <c r="E11" s="9" t="s">
        <v>245</v>
      </c>
      <c r="F11" s="9" t="s">
        <v>71</v>
      </c>
      <c r="G11"/>
      <c r="H11"/>
      <c r="I11"/>
      <c r="J11"/>
      <c r="K11"/>
      <c r="L11"/>
      <c r="M11" s="2"/>
      <c r="N11" s="9" t="s">
        <v>235</v>
      </c>
      <c r="O11" s="9" t="s">
        <v>240</v>
      </c>
      <c r="P11" s="9" t="s">
        <v>241</v>
      </c>
      <c r="Q11" s="9" t="s">
        <v>246</v>
      </c>
    </row>
    <row r="12" spans="1:17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/>
      <c r="H12"/>
      <c r="I12"/>
      <c r="J12"/>
      <c r="K12"/>
      <c r="L12"/>
      <c r="M12" s="2"/>
    </row>
    <row r="13" spans="1:17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7" x14ac:dyDescent="0.2">
      <c r="A14" t="str">
        <f t="shared" ref="A14:A21" si="0">TEXT(A15-1,"#")</f>
        <v>2012</v>
      </c>
      <c r="B14" s="25"/>
      <c r="C14" s="75">
        <f>ROUND('3.3b'!$C$52/'3.3b'!$C$16,3)</f>
        <v>1.31</v>
      </c>
      <c r="D14" s="75">
        <f>ROUND('3.3c'!$C$52/'3.3c'!$C$16,3)</f>
        <v>1.321</v>
      </c>
      <c r="E14" s="36">
        <f>ROUND('3.3d'!$C$54/'3.3d'!$C$18,3)</f>
        <v>1.0900000000000001</v>
      </c>
      <c r="F14" s="36">
        <f>ROUND(SUMPRODUCT(C14:E14,$O14:$Q14)/SUMIF(C14:E14,"&gt;0",$O14:$Q14),3)</f>
        <v>1.2629999999999999</v>
      </c>
      <c r="G14"/>
      <c r="H14"/>
      <c r="I14"/>
      <c r="J14" s="36"/>
      <c r="K14" s="36"/>
      <c r="M14" s="2"/>
      <c r="N14" s="12">
        <f>VALUE(A14)-1900</f>
        <v>112</v>
      </c>
      <c r="O14" s="123">
        <v>0</v>
      </c>
      <c r="P14" s="123">
        <v>0.75</v>
      </c>
      <c r="Q14" s="123">
        <v>0.25</v>
      </c>
    </row>
    <row r="15" spans="1:17" x14ac:dyDescent="0.2">
      <c r="A15" t="str">
        <f t="shared" si="0"/>
        <v>2013</v>
      </c>
      <c r="B15" s="25"/>
      <c r="C15" s="75">
        <f>ROUND('3.3b'!$C$52/'3.3b'!$C$20,3)</f>
        <v>1.27</v>
      </c>
      <c r="D15" s="75">
        <f>ROUND('3.3c'!$C$52/'3.3c'!$C$20,3)</f>
        <v>1.278</v>
      </c>
      <c r="E15" s="36">
        <f>ROUND('3.3d'!$C$54/'3.3d'!$C$22,3)</f>
        <v>1.083</v>
      </c>
      <c r="F15" s="36">
        <f t="shared" ref="F15:F22" si="1">ROUND(SUMPRODUCT(C15:E15,$O15:$Q15)/SUMIF(C15:E15,"&gt;0",$O15:$Q15),3)</f>
        <v>1.2290000000000001</v>
      </c>
      <c r="G15"/>
      <c r="H15"/>
      <c r="I15"/>
      <c r="J15" s="36"/>
      <c r="K15" s="36"/>
      <c r="L15"/>
      <c r="M15" s="2"/>
      <c r="N15" s="12">
        <f t="shared" ref="N15:N23" si="2">VALUE(A15)-1900</f>
        <v>113</v>
      </c>
      <c r="O15" s="123">
        <v>0</v>
      </c>
      <c r="P15" s="123">
        <v>0.75</v>
      </c>
      <c r="Q15" s="123">
        <v>0.25</v>
      </c>
    </row>
    <row r="16" spans="1:17" x14ac:dyDescent="0.2">
      <c r="A16" t="str">
        <f t="shared" si="0"/>
        <v>2014</v>
      </c>
      <c r="B16" s="25"/>
      <c r="C16" s="75">
        <f>ROUND('3.3b'!$C$52/'3.3b'!$C$24,3)</f>
        <v>1.2310000000000001</v>
      </c>
      <c r="D16" s="75">
        <f>ROUND('3.3c'!$C$52/'3.3c'!$C$24,3)</f>
        <v>1.23</v>
      </c>
      <c r="E16" s="36">
        <f>ROUND('3.3d'!$C$54/'3.3d'!$C$26,3)</f>
        <v>1.073</v>
      </c>
      <c r="F16" s="36">
        <f t="shared" si="1"/>
        <v>1.1910000000000001</v>
      </c>
      <c r="G16"/>
      <c r="H16"/>
      <c r="I16"/>
      <c r="J16" s="36"/>
      <c r="K16" s="36"/>
      <c r="L16"/>
      <c r="M16" s="2"/>
      <c r="N16" s="12">
        <f t="shared" si="2"/>
        <v>114</v>
      </c>
      <c r="O16" s="123">
        <v>0</v>
      </c>
      <c r="P16" s="123">
        <v>0.75</v>
      </c>
      <c r="Q16" s="123">
        <v>0.25</v>
      </c>
    </row>
    <row r="17" spans="1:17" x14ac:dyDescent="0.2">
      <c r="A17" t="str">
        <f t="shared" si="0"/>
        <v>2015</v>
      </c>
      <c r="B17" s="25"/>
      <c r="C17" s="75">
        <f>ROUND('3.3b'!$C$52/'3.3b'!$C$28,3)</f>
        <v>1.2</v>
      </c>
      <c r="D17" s="75">
        <f>ROUND('3.3c'!$C$52/'3.3c'!$C$28,3)</f>
        <v>1.2010000000000001</v>
      </c>
      <c r="E17" s="36">
        <f>ROUND('3.3d'!$C$54/'3.3d'!$C$30,3)</f>
        <v>1.0589999999999999</v>
      </c>
      <c r="F17" s="36">
        <f t="shared" si="1"/>
        <v>1.1659999999999999</v>
      </c>
      <c r="G17"/>
      <c r="H17"/>
      <c r="I17"/>
      <c r="J17" s="36"/>
      <c r="K17" s="36"/>
      <c r="L17"/>
      <c r="M17" s="2"/>
      <c r="N17" s="12">
        <f t="shared" si="2"/>
        <v>115</v>
      </c>
      <c r="O17" s="123">
        <v>0</v>
      </c>
      <c r="P17" s="123">
        <v>0.75</v>
      </c>
      <c r="Q17" s="123">
        <v>0.25</v>
      </c>
    </row>
    <row r="18" spans="1:17" x14ac:dyDescent="0.2">
      <c r="A18" t="str">
        <f t="shared" si="0"/>
        <v>2016</v>
      </c>
      <c r="B18" s="25"/>
      <c r="C18" s="75">
        <f>ROUND('3.3b'!$C$52/'3.3b'!$C$32,3)</f>
        <v>1.208</v>
      </c>
      <c r="D18" s="75">
        <f>ROUND('3.3c'!$C$52/'3.3c'!$C$32,3)</f>
        <v>1.2090000000000001</v>
      </c>
      <c r="E18" s="36">
        <f>ROUND('3.3d'!$C$54/'3.3d'!$C$34,3)</f>
        <v>1.044</v>
      </c>
      <c r="F18" s="36">
        <f t="shared" si="1"/>
        <v>1.1679999999999999</v>
      </c>
      <c r="G18"/>
      <c r="H18"/>
      <c r="I18"/>
      <c r="J18" s="36"/>
      <c r="K18" s="36"/>
      <c r="L18"/>
      <c r="M18" s="2"/>
      <c r="N18" s="12">
        <f t="shared" si="2"/>
        <v>116</v>
      </c>
      <c r="O18" s="123">
        <v>0</v>
      </c>
      <c r="P18" s="123">
        <v>0.75</v>
      </c>
      <c r="Q18" s="123">
        <v>0.25</v>
      </c>
    </row>
    <row r="19" spans="1:17" x14ac:dyDescent="0.2">
      <c r="A19" t="str">
        <f t="shared" si="0"/>
        <v>2017</v>
      </c>
      <c r="B19" s="25"/>
      <c r="C19" s="75">
        <f>ROUND('3.3b'!$C$52/'3.3b'!$C$36,3)</f>
        <v>1.1950000000000001</v>
      </c>
      <c r="D19" s="75">
        <f>ROUND('3.3c'!$C$52/'3.3c'!$C$36,3)</f>
        <v>1.1950000000000001</v>
      </c>
      <c r="E19" s="36">
        <f>ROUND('3.3d'!$C$54/'3.3d'!$C$38,3)</f>
        <v>1.0369999999999999</v>
      </c>
      <c r="F19" s="36">
        <f t="shared" si="1"/>
        <v>1.1559999999999999</v>
      </c>
      <c r="G19"/>
      <c r="H19"/>
      <c r="I19"/>
      <c r="J19" s="36"/>
      <c r="K19" s="36"/>
      <c r="L19"/>
      <c r="M19" s="2"/>
      <c r="N19" s="12">
        <f t="shared" si="2"/>
        <v>117</v>
      </c>
      <c r="O19" s="123">
        <v>0</v>
      </c>
      <c r="P19" s="123">
        <v>0.75</v>
      </c>
      <c r="Q19" s="123">
        <v>0.25</v>
      </c>
    </row>
    <row r="20" spans="1:17" x14ac:dyDescent="0.2">
      <c r="A20" t="str">
        <f t="shared" si="0"/>
        <v>2018</v>
      </c>
      <c r="B20" s="25"/>
      <c r="C20" s="75">
        <f>ROUND('3.3b'!$C$52/'3.3b'!$C$40,3)</f>
        <v>1.151</v>
      </c>
      <c r="D20" s="75">
        <f>ROUND('3.3c'!$C$52/'3.3c'!$C$40,3)</f>
        <v>1.1499999999999999</v>
      </c>
      <c r="E20" s="36">
        <f>ROUND('3.3d'!$C$54/'3.3d'!$C$42,3)</f>
        <v>1.0289999999999999</v>
      </c>
      <c r="F20" s="36">
        <f t="shared" si="1"/>
        <v>1.1200000000000001</v>
      </c>
      <c r="G20"/>
      <c r="H20"/>
      <c r="I20"/>
      <c r="J20" s="36"/>
      <c r="K20" s="36"/>
      <c r="L20"/>
      <c r="M20" s="2"/>
      <c r="N20" s="12">
        <f t="shared" si="2"/>
        <v>118</v>
      </c>
      <c r="O20" s="123">
        <v>0</v>
      </c>
      <c r="P20" s="123">
        <v>0.75</v>
      </c>
      <c r="Q20" s="123">
        <v>0.25</v>
      </c>
    </row>
    <row r="21" spans="1:17" x14ac:dyDescent="0.2">
      <c r="A21" t="str">
        <f t="shared" si="0"/>
        <v>2019</v>
      </c>
      <c r="B21" s="25"/>
      <c r="C21" s="75">
        <f>ROUND('3.3b'!$C$52/'3.3b'!$C$44,3)</f>
        <v>1.125</v>
      </c>
      <c r="D21" s="75">
        <f>ROUND('3.3c'!$C$52/'3.3c'!$C$44,3)</f>
        <v>1.115</v>
      </c>
      <c r="E21" s="36">
        <f>ROUND('3.3d'!$C$54/'3.3d'!$C$46,3)</f>
        <v>1.008</v>
      </c>
      <c r="F21" s="36">
        <f t="shared" si="1"/>
        <v>1.0880000000000001</v>
      </c>
      <c r="G21"/>
      <c r="H21"/>
      <c r="I21"/>
      <c r="J21" s="36"/>
      <c r="K21" s="36"/>
      <c r="L21"/>
      <c r="M21" s="2"/>
      <c r="N21" s="12">
        <f t="shared" si="2"/>
        <v>119</v>
      </c>
      <c r="O21" s="123">
        <v>0</v>
      </c>
      <c r="P21" s="123">
        <v>0.75</v>
      </c>
      <c r="Q21" s="123">
        <v>0.25</v>
      </c>
    </row>
    <row r="22" spans="1:17" x14ac:dyDescent="0.2">
      <c r="A22" t="str">
        <f>TEXT(A23-1,"#")</f>
        <v>2020</v>
      </c>
      <c r="B22" s="25"/>
      <c r="C22" s="75">
        <f>ROUND('3.3b'!$C$52/'3.3b'!$C$48,3)</f>
        <v>1.117</v>
      </c>
      <c r="D22" s="75">
        <f>ROUND('3.3c'!$C$52/'3.3c'!$C$48,3)</f>
        <v>1.1120000000000001</v>
      </c>
      <c r="E22" s="75">
        <f>ROUND('3.3d'!$C$54/'3.3d'!$C$50,3)</f>
        <v>1.0269999999999999</v>
      </c>
      <c r="F22" s="36">
        <f t="shared" si="1"/>
        <v>1.091</v>
      </c>
      <c r="G22"/>
      <c r="H22"/>
      <c r="I22"/>
      <c r="J22" s="36"/>
      <c r="K22" s="36"/>
      <c r="L22"/>
      <c r="M22" s="2"/>
      <c r="N22" s="12">
        <f t="shared" si="2"/>
        <v>120</v>
      </c>
      <c r="O22" s="123">
        <v>0</v>
      </c>
      <c r="P22" s="123">
        <v>0.75</v>
      </c>
      <c r="Q22" s="123">
        <v>0.25</v>
      </c>
    </row>
    <row r="23" spans="1:17" x14ac:dyDescent="0.2">
      <c r="A23" t="str">
        <f>TEXT(YEAR($N$9),"#")</f>
        <v>2021</v>
      </c>
      <c r="B23" s="25"/>
      <c r="C23" s="75">
        <f>ROUND('3.3b'!$C$52/'3.3b'!$C$52,3)</f>
        <v>1</v>
      </c>
      <c r="D23" s="75">
        <f>ROUND('3.3c'!$C$52/'3.3c'!$C$52,3)</f>
        <v>1</v>
      </c>
      <c r="E23" s="75">
        <f>ROUND('3.3d'!$C$54/'3.3d'!$C$54,3)</f>
        <v>1</v>
      </c>
      <c r="F23" s="36">
        <f>ROUND(SUMPRODUCT(C23:E23,$O23:$Q23)/SUMIF(C23:E23,"&gt;0",$O23:$Q23),3)</f>
        <v>1</v>
      </c>
      <c r="G23"/>
      <c r="H23"/>
      <c r="I23"/>
      <c r="J23" s="36"/>
      <c r="K23" s="36"/>
      <c r="L23"/>
      <c r="M23" s="2"/>
      <c r="N23" s="12">
        <f t="shared" si="2"/>
        <v>121</v>
      </c>
      <c r="O23" s="123">
        <v>0</v>
      </c>
      <c r="P23" s="123">
        <v>0.75</v>
      </c>
      <c r="Q23" s="123">
        <v>0.25</v>
      </c>
    </row>
    <row r="24" spans="1:17" x14ac:dyDescent="0.2">
      <c r="A24" s="9"/>
      <c r="B24" s="26"/>
      <c r="C24" s="37"/>
      <c r="D24" s="37"/>
      <c r="E24" s="37"/>
      <c r="F24" s="37"/>
      <c r="G24" s="102"/>
      <c r="H24" s="49"/>
      <c r="I24" s="49"/>
      <c r="J24" s="63"/>
      <c r="K24" s="63"/>
      <c r="L24" s="63"/>
      <c r="M24" s="2"/>
    </row>
    <row r="25" spans="1:17" x14ac:dyDescent="0.2">
      <c r="A25" s="50"/>
      <c r="B25" s="50"/>
      <c r="C25" s="58"/>
      <c r="D25" s="50"/>
      <c r="E25" s="50"/>
      <c r="F25" s="50"/>
      <c r="G25"/>
      <c r="H25"/>
      <c r="I25"/>
      <c r="J25"/>
      <c r="K25"/>
      <c r="L25"/>
      <c r="M25" s="2"/>
      <c r="Q25"/>
    </row>
    <row r="26" spans="1:17" x14ac:dyDescent="0.2">
      <c r="A26" s="12" t="s">
        <v>247</v>
      </c>
      <c r="H26"/>
      <c r="I26"/>
      <c r="J26"/>
      <c r="K26"/>
      <c r="L26"/>
      <c r="M26" s="2"/>
    </row>
    <row r="27" spans="1:17" x14ac:dyDescent="0.2">
      <c r="B27"/>
      <c r="C27" s="106"/>
      <c r="D27" s="106"/>
      <c r="E27" s="106"/>
      <c r="F27" s="107"/>
      <c r="G27"/>
      <c r="H27"/>
      <c r="I27"/>
      <c r="J27"/>
      <c r="K27"/>
      <c r="L27"/>
      <c r="M27" s="2"/>
    </row>
    <row r="28" spans="1:17" x14ac:dyDescent="0.2">
      <c r="A28" s="103" t="s">
        <v>124</v>
      </c>
      <c r="B28" t="s">
        <v>248</v>
      </c>
      <c r="C28" s="76">
        <f>ROUND('3.3b'!$G$56,3)</f>
        <v>3.5999999999999997E-2</v>
      </c>
      <c r="D28" s="76">
        <f>ROUND('3.3c'!$G$56,3)</f>
        <v>3.6999999999999998E-2</v>
      </c>
      <c r="E28" s="76">
        <f>ROUND('3.3d'!$G$58,3)</f>
        <v>7.0000000000000001E-3</v>
      </c>
      <c r="F28" s="76">
        <f>ROUND(SUMPRODUCT(C28:E28,$O28:$Q28)/SUMIF(C28:E28,"&gt;0",$O28:$Q28),3)</f>
        <v>0.03</v>
      </c>
      <c r="G28"/>
      <c r="H28"/>
      <c r="I28"/>
      <c r="J28"/>
      <c r="K28"/>
      <c r="L28"/>
      <c r="M28" s="2"/>
      <c r="O28" s="123">
        <v>0</v>
      </c>
      <c r="P28" s="123">
        <v>0.75</v>
      </c>
      <c r="Q28" s="123">
        <v>0.25</v>
      </c>
    </row>
    <row r="29" spans="1:17" x14ac:dyDescent="0.2">
      <c r="A29" s="108"/>
      <c r="B29" s="109"/>
      <c r="C29" s="50"/>
      <c r="D29" s="50"/>
      <c r="E29" s="50"/>
      <c r="F29" s="29"/>
      <c r="G29" s="50"/>
      <c r="H29" s="50"/>
      <c r="I29" s="50"/>
      <c r="J29" s="50"/>
      <c r="K29" s="50"/>
      <c r="L29" s="50"/>
      <c r="M29" s="2"/>
    </row>
    <row r="30" spans="1:17" x14ac:dyDescent="0.2">
      <c r="A30" s="103" t="s">
        <v>123</v>
      </c>
      <c r="B30" s="109" t="s">
        <v>250</v>
      </c>
      <c r="C30" s="102">
        <f>ROUND((1+C28)^$N$32,3)</f>
        <v>1.1020000000000001</v>
      </c>
      <c r="D30" s="102">
        <f>ROUND((1+D28)^$N$32,3)</f>
        <v>1.105</v>
      </c>
      <c r="E30" s="102">
        <f>ROUND((1+E28)^$N$32,3)</f>
        <v>1.0189999999999999</v>
      </c>
      <c r="F30" s="102">
        <f>ROUND((1+F28)^$N$32,3)</f>
        <v>1.085</v>
      </c>
      <c r="G30" s="50"/>
      <c r="H30" s="50"/>
      <c r="I30" s="50"/>
      <c r="J30" s="50"/>
      <c r="K30" s="50"/>
      <c r="L30" s="50"/>
      <c r="M30" s="2"/>
      <c r="O30" s="12" t="s">
        <v>249</v>
      </c>
    </row>
    <row r="31" spans="1:17" ht="10.5" thickBot="1" x14ac:dyDescent="0.25">
      <c r="A31" s="6"/>
      <c r="B31" s="6"/>
      <c r="C31" s="6"/>
      <c r="D31" s="6"/>
      <c r="E31" s="6"/>
      <c r="F31" s="6"/>
      <c r="G31" s="50"/>
      <c r="H31" s="50"/>
      <c r="I31" s="50"/>
      <c r="J31" s="50"/>
      <c r="K31" s="50"/>
      <c r="L31" s="50"/>
      <c r="M31" s="2"/>
      <c r="N31" s="12" t="s">
        <v>222</v>
      </c>
      <c r="O31" s="186" t="s">
        <v>228</v>
      </c>
      <c r="P31" s="186" t="s">
        <v>229</v>
      </c>
    </row>
    <row r="32" spans="1:17" ht="10.5" thickTop="1" x14ac:dyDescent="0.2">
      <c r="A32"/>
      <c r="B32"/>
      <c r="C32"/>
      <c r="D32"/>
      <c r="E32"/>
      <c r="F32"/>
      <c r="G32" s="50"/>
      <c r="H32" s="50"/>
      <c r="I32" s="50"/>
      <c r="J32" s="50"/>
      <c r="K32" s="50"/>
      <c r="L32" s="50"/>
      <c r="M32" s="2"/>
      <c r="N32" s="110">
        <f>YEAR(P32)-YEAR(O32)+(MONTH(P32)-MONTH(O32))/12</f>
        <v>2.75</v>
      </c>
      <c r="O32" s="228">
        <f>DATE(YEAR(N9+1),MONTH(N9+1)-6,1)</f>
        <v>44287</v>
      </c>
      <c r="P32" s="228">
        <f>'trend 2.5'!$I$15</f>
        <v>45292</v>
      </c>
    </row>
    <row r="33" spans="1:17" x14ac:dyDescent="0.2">
      <c r="A33" t="s">
        <v>17</v>
      </c>
      <c r="B33"/>
      <c r="C33"/>
      <c r="D33"/>
      <c r="E33"/>
      <c r="F33"/>
      <c r="G33"/>
      <c r="H33"/>
      <c r="I33"/>
      <c r="J33"/>
      <c r="K33"/>
      <c r="L33"/>
      <c r="M33" s="2"/>
    </row>
    <row r="34" spans="1:17" x14ac:dyDescent="0.2">
      <c r="A34"/>
      <c r="B34" s="22" t="str">
        <f>C12&amp;" = "&amp;'3.3b'!$L$1&amp;", "&amp;'3.3b'!$L$2&amp;" trended forward to "&amp;TEXT($N$9,"m/d/yyyy")</f>
        <v>(2) = Exhibit 3, Sheet 3b trended forward to 9/30/2021</v>
      </c>
      <c r="F34"/>
      <c r="G34"/>
      <c r="J34"/>
      <c r="K34"/>
      <c r="L34"/>
      <c r="M34" s="2"/>
    </row>
    <row r="35" spans="1:17" x14ac:dyDescent="0.2">
      <c r="A35"/>
      <c r="B35" s="22" t="str">
        <f>D12&amp;" = "&amp;'3.3c'!$L$1&amp;", "&amp;'3.3c'!$L$2&amp;" trended forward to "&amp;TEXT($N$9,"m/d/yyyy")</f>
        <v>(3) = Exhibit 3, Sheet 3c trended forward to 9/30/2021</v>
      </c>
      <c r="C35"/>
      <c r="D35"/>
      <c r="E35"/>
      <c r="F35"/>
      <c r="H35"/>
      <c r="I35"/>
      <c r="J35"/>
      <c r="K35"/>
      <c r="L35"/>
      <c r="M35" s="2"/>
    </row>
    <row r="36" spans="1:17" x14ac:dyDescent="0.2">
      <c r="A36"/>
      <c r="B36" s="22" t="str">
        <f>E12&amp;" = "&amp;'3.3d'!$L$1&amp;", "&amp;'3.3d'!$L$2</f>
        <v>(4) = Exhibit 3, Sheet 3d</v>
      </c>
      <c r="D36"/>
      <c r="E36"/>
      <c r="F36"/>
      <c r="H36"/>
      <c r="I36"/>
      <c r="J36"/>
      <c r="K36"/>
      <c r="L36"/>
      <c r="M36" s="2"/>
    </row>
    <row r="37" spans="1:17" x14ac:dyDescent="0.2">
      <c r="A37"/>
      <c r="B37" s="22" t="str">
        <f>F12&amp;" = 25% "&amp;E11&amp;" and 75% "&amp;D11&amp;" (most appropriate available by year)"</f>
        <v>(5) = 25% CPI and 75% Boeckh (most appropriate available by year)</v>
      </c>
      <c r="C37"/>
      <c r="D37"/>
      <c r="E37"/>
      <c r="F37"/>
      <c r="H37"/>
      <c r="I37"/>
      <c r="J37"/>
      <c r="K37"/>
      <c r="L37"/>
      <c r="M37" s="2"/>
    </row>
    <row r="38" spans="1:17" x14ac:dyDescent="0.2">
      <c r="B38" s="12" t="str">
        <f>A28&amp;" = "&amp;C12&amp;" - "&amp;F12&amp;" fitted to an exponential curve using 5 years' data"</f>
        <v>(6) = (2) - (5) fitted to an exponential curve using 5 years' data</v>
      </c>
      <c r="L38"/>
      <c r="M38" s="2"/>
    </row>
    <row r="39" spans="1:17" x14ac:dyDescent="0.2">
      <c r="A39" s="111"/>
      <c r="B39" s="109" t="str">
        <f>A30&amp;" = [1 + "&amp;A28&amp;"] ^ "&amp;$N$32&amp;" (trended from "&amp;TEXT($O$32,"m/d/yyyy")&amp;" to "&amp;TEXT($P$32,"m/d/yyyy")&amp;")"</f>
        <v>(7) = [1 + (6)] ^ 2.75 (trended from 4/1/2021 to 1/1/2024)</v>
      </c>
      <c r="C39" s="100"/>
      <c r="D39" s="101"/>
      <c r="E39" s="101"/>
      <c r="F39" s="36"/>
      <c r="G39" s="102"/>
      <c r="H39" s="49"/>
      <c r="I39" s="49"/>
      <c r="J39" s="63"/>
      <c r="K39" s="63"/>
      <c r="L39" s="63"/>
      <c r="M39" s="2"/>
    </row>
    <row r="40" spans="1:17" x14ac:dyDescent="0.2">
      <c r="A40" s="111"/>
      <c r="B40" s="109"/>
      <c r="C40" s="100"/>
      <c r="D40" s="101"/>
      <c r="E40" s="101"/>
      <c r="F40" s="29"/>
      <c r="G40" s="102"/>
      <c r="H40" s="49"/>
      <c r="I40" s="49"/>
      <c r="J40" s="63"/>
      <c r="K40" s="63"/>
      <c r="L40" s="63"/>
      <c r="M40" s="2"/>
    </row>
    <row r="41" spans="1:17" x14ac:dyDescent="0.2">
      <c r="A41" s="112"/>
      <c r="B41" s="109"/>
      <c r="C41" s="100"/>
      <c r="D41" s="101"/>
      <c r="E41" s="101"/>
      <c r="F41" s="29"/>
      <c r="G41" s="102"/>
      <c r="H41" s="49"/>
      <c r="I41" s="49"/>
      <c r="J41" s="63"/>
      <c r="K41" s="63"/>
      <c r="L41" s="63"/>
      <c r="M41" s="2"/>
    </row>
    <row r="42" spans="1:17" x14ac:dyDescent="0.2">
      <c r="A42" s="50"/>
      <c r="B42" s="50"/>
      <c r="C42" s="63"/>
      <c r="D42" s="63"/>
      <c r="E42" s="63"/>
      <c r="F42" s="63"/>
      <c r="G42"/>
      <c r="H42"/>
      <c r="I42"/>
      <c r="J42"/>
      <c r="K42"/>
      <c r="L42"/>
      <c r="M42" s="2"/>
      <c r="Q42"/>
    </row>
    <row r="43" spans="1:17" x14ac:dyDescent="0.2">
      <c r="A43" s="112"/>
      <c r="B43" s="109"/>
      <c r="C43" s="100"/>
      <c r="D43" s="101"/>
      <c r="E43" s="101"/>
      <c r="F43" s="29"/>
      <c r="G43" s="102"/>
      <c r="H43" s="49"/>
      <c r="I43" s="49"/>
      <c r="J43" s="63"/>
      <c r="K43" s="63"/>
      <c r="L43" s="63"/>
      <c r="M43" s="2"/>
    </row>
    <row r="44" spans="1:17" x14ac:dyDescent="0.2">
      <c r="A44" s="50"/>
      <c r="B44" s="51"/>
      <c r="C44" s="100"/>
      <c r="D44" s="101"/>
      <c r="E44" s="101"/>
      <c r="F44" s="29"/>
      <c r="G44" s="102"/>
      <c r="H44" s="49"/>
      <c r="I44" s="49"/>
      <c r="J44" s="63"/>
      <c r="K44" s="63"/>
      <c r="L44" s="63"/>
      <c r="M44" s="2"/>
    </row>
    <row r="45" spans="1:17" x14ac:dyDescent="0.2">
      <c r="A45" s="112"/>
      <c r="B45" s="51"/>
      <c r="C45" s="100"/>
      <c r="D45" s="101"/>
      <c r="E45" s="101"/>
      <c r="F45" s="29"/>
      <c r="G45" s="102"/>
      <c r="H45" s="49"/>
      <c r="I45" s="49"/>
      <c r="J45" s="63"/>
      <c r="K45" s="63"/>
      <c r="L45" s="63"/>
      <c r="M45" s="2"/>
    </row>
    <row r="46" spans="1:17" x14ac:dyDescent="0.2">
      <c r="A46"/>
      <c r="B46" s="22"/>
      <c r="C46"/>
      <c r="D46"/>
      <c r="E46"/>
      <c r="F46"/>
      <c r="G46"/>
      <c r="H46"/>
      <c r="I46"/>
      <c r="L46"/>
      <c r="M46" s="2"/>
    </row>
    <row r="47" spans="1:17" x14ac:dyDescent="0.2">
      <c r="A47"/>
      <c r="B47" s="22"/>
      <c r="C47"/>
      <c r="D47"/>
      <c r="E47"/>
      <c r="F47"/>
      <c r="H47"/>
      <c r="I47"/>
      <c r="J47"/>
      <c r="K47"/>
      <c r="L47"/>
      <c r="M47" s="2"/>
    </row>
    <row r="48" spans="1:17" x14ac:dyDescent="0.2">
      <c r="A48" s="50"/>
      <c r="B48" s="22"/>
      <c r="C48" s="100"/>
      <c r="D48" s="101"/>
      <c r="E48" s="101"/>
      <c r="F48" s="102"/>
      <c r="G48" s="102"/>
      <c r="H48" s="49"/>
      <c r="I48" s="49"/>
      <c r="J48" s="63"/>
      <c r="K48" s="63"/>
      <c r="L48" s="63"/>
      <c r="M48" s="2"/>
    </row>
    <row r="49" spans="1:13" x14ac:dyDescent="0.2">
      <c r="A49" s="50"/>
      <c r="B49" s="22"/>
      <c r="C49" s="100"/>
      <c r="D49" s="101"/>
      <c r="E49" s="101"/>
      <c r="F49" s="102"/>
      <c r="G49" s="102"/>
      <c r="H49" s="49"/>
      <c r="I49" s="49"/>
      <c r="J49" s="63"/>
      <c r="K49" s="63"/>
      <c r="L49" s="63"/>
      <c r="M49" s="2"/>
    </row>
    <row r="50" spans="1:13" x14ac:dyDescent="0.2">
      <c r="A50" s="50"/>
      <c r="B50" s="22"/>
      <c r="C50" s="100"/>
      <c r="D50" s="101"/>
      <c r="E50" s="101"/>
      <c r="F50" s="102"/>
      <c r="G50" s="102"/>
      <c r="H50" s="49"/>
      <c r="I50" s="49"/>
      <c r="J50" s="63"/>
      <c r="K50" s="63"/>
      <c r="L50" s="63"/>
      <c r="M50" s="2"/>
    </row>
    <row r="51" spans="1:13" x14ac:dyDescent="0.2">
      <c r="A51" s="50"/>
      <c r="B51" s="22"/>
      <c r="C51" s="58"/>
      <c r="D51" s="50"/>
      <c r="E51" s="50"/>
      <c r="F51" s="50"/>
      <c r="G51" s="58"/>
      <c r="H51" s="58"/>
      <c r="I51" s="58"/>
      <c r="J51" s="58"/>
      <c r="K51" s="58"/>
      <c r="L51" s="50"/>
      <c r="M51" s="2"/>
    </row>
    <row r="52" spans="1:13" x14ac:dyDescent="0.2">
      <c r="A52" s="50"/>
      <c r="C52" s="58"/>
      <c r="D52" s="58"/>
      <c r="E52" s="50"/>
      <c r="F52" s="58"/>
      <c r="G52" s="58"/>
      <c r="H52" s="58"/>
      <c r="I52" s="58"/>
      <c r="J52" s="63"/>
      <c r="K52" s="63"/>
      <c r="L52"/>
      <c r="M52" s="2"/>
    </row>
    <row r="53" spans="1:13" x14ac:dyDescent="0.2">
      <c r="A53" s="111"/>
      <c r="B53" s="109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2"/>
    </row>
    <row r="54" spans="1:13" x14ac:dyDescent="0.2">
      <c r="F54"/>
      <c r="M54" s="2"/>
    </row>
    <row r="55" spans="1:13" x14ac:dyDescent="0.2">
      <c r="F55"/>
      <c r="M55" s="2"/>
    </row>
    <row r="56" spans="1:13" x14ac:dyDescent="0.2">
      <c r="F56"/>
      <c r="M56" s="2"/>
    </row>
    <row r="57" spans="1:13" x14ac:dyDescent="0.2">
      <c r="F57"/>
      <c r="M57" s="2"/>
    </row>
    <row r="58" spans="1:13" x14ac:dyDescent="0.2">
      <c r="F58"/>
      <c r="M58" s="2"/>
    </row>
    <row r="59" spans="1:13" x14ac:dyDescent="0.2">
      <c r="F59"/>
      <c r="M59" s="2"/>
    </row>
    <row r="60" spans="1:13" x14ac:dyDescent="0.2">
      <c r="F60"/>
      <c r="M60" s="2"/>
    </row>
    <row r="61" spans="1:13" x14ac:dyDescent="0.2">
      <c r="F61"/>
      <c r="M61" s="2"/>
    </row>
    <row r="62" spans="1:13" x14ac:dyDescent="0.2">
      <c r="F62"/>
      <c r="M62" s="2"/>
    </row>
    <row r="63" spans="1:13" x14ac:dyDescent="0.2">
      <c r="F63"/>
      <c r="M63" s="2"/>
    </row>
    <row r="64" spans="1:13" x14ac:dyDescent="0.2">
      <c r="M64" s="2"/>
    </row>
    <row r="65" spans="1:13" x14ac:dyDescent="0.2">
      <c r="M65" s="2"/>
    </row>
    <row r="66" spans="1:13" x14ac:dyDescent="0.2">
      <c r="M66" s="2"/>
    </row>
    <row r="67" spans="1:13" x14ac:dyDescent="0.2">
      <c r="M67" s="2"/>
    </row>
    <row r="68" spans="1:13" ht="10.5" thickBot="1" x14ac:dyDescent="0.25">
      <c r="M68" s="2"/>
    </row>
    <row r="69" spans="1:13" ht="10.5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18">
    <tabColor rgb="FF92D050"/>
  </sheetPr>
  <dimension ref="A1:R63"/>
  <sheetViews>
    <sheetView showGridLines="0" topLeftCell="A55" workbookViewId="0">
      <selection activeCell="O10" sqref="O10"/>
    </sheetView>
  </sheetViews>
  <sheetFormatPr defaultColWidth="11.33203125" defaultRowHeight="10" x14ac:dyDescent="0.2"/>
  <cols>
    <col min="1" max="1" width="3.44140625" style="12" customWidth="1"/>
    <col min="2" max="2" width="10.6640625" style="12" customWidth="1"/>
    <col min="3" max="11" width="11.44140625" style="12" customWidth="1"/>
    <col min="12" max="12" width="3.44140625" style="12" customWidth="1"/>
    <col min="13" max="16384" width="11.33203125" style="12"/>
  </cols>
  <sheetData>
    <row r="1" spans="1:18" ht="10.5" x14ac:dyDescent="0.25">
      <c r="A1" s="8" t="str">
        <f>'1'!$A$1</f>
        <v>Texas Windstorm Insurance Association</v>
      </c>
      <c r="C1"/>
      <c r="D1"/>
      <c r="E1"/>
      <c r="F1"/>
      <c r="G1"/>
      <c r="H1"/>
      <c r="I1"/>
      <c r="J1"/>
      <c r="L1" s="7" t="s">
        <v>67</v>
      </c>
      <c r="M1" s="1"/>
      <c r="Q1" s="186" t="s">
        <v>428</v>
      </c>
      <c r="R1" s="12" t="s">
        <v>427</v>
      </c>
    </row>
    <row r="2" spans="1:18" ht="10.5" x14ac:dyDescent="0.25">
      <c r="A2" s="8" t="str">
        <f>'1'!$A$2</f>
        <v>Residential Property - Wind &amp; Hail</v>
      </c>
      <c r="C2"/>
      <c r="D2"/>
      <c r="E2"/>
      <c r="F2"/>
      <c r="G2"/>
      <c r="H2"/>
      <c r="I2"/>
      <c r="J2"/>
      <c r="L2" s="7" t="s">
        <v>57</v>
      </c>
      <c r="M2" s="2"/>
    </row>
    <row r="3" spans="1:18" ht="10.5" x14ac:dyDescent="0.25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8" x14ac:dyDescent="0.2">
      <c r="A4" s="105" t="s">
        <v>236</v>
      </c>
      <c r="C4"/>
      <c r="D4"/>
      <c r="E4"/>
      <c r="F4"/>
      <c r="G4"/>
      <c r="H4"/>
      <c r="I4"/>
      <c r="J4"/>
      <c r="K4"/>
      <c r="L4"/>
      <c r="M4" s="2"/>
    </row>
    <row r="5" spans="1:18" x14ac:dyDescent="0.2">
      <c r="A5" s="105" t="s">
        <v>251</v>
      </c>
      <c r="C5"/>
      <c r="D5"/>
      <c r="E5"/>
      <c r="F5"/>
      <c r="G5"/>
      <c r="H5"/>
      <c r="I5"/>
      <c r="J5"/>
      <c r="K5"/>
      <c r="L5"/>
      <c r="M5" s="2"/>
    </row>
    <row r="6" spans="1:18" x14ac:dyDescent="0.2">
      <c r="B6"/>
      <c r="C6"/>
      <c r="D6"/>
      <c r="E6"/>
      <c r="F6"/>
      <c r="G6"/>
      <c r="H6"/>
      <c r="I6"/>
      <c r="J6"/>
      <c r="K6"/>
      <c r="L6"/>
      <c r="M6" s="2"/>
    </row>
    <row r="7" spans="1:18" ht="10.5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50"/>
      <c r="M7" s="2"/>
    </row>
    <row r="8" spans="1:18" ht="10.5" thickTop="1" x14ac:dyDescent="0.2">
      <c r="A8"/>
      <c r="B8"/>
      <c r="C8"/>
      <c r="D8"/>
      <c r="E8"/>
      <c r="F8"/>
      <c r="G8" s="50"/>
      <c r="H8"/>
      <c r="I8" s="50"/>
      <c r="J8"/>
      <c r="K8" s="50"/>
      <c r="L8" s="50"/>
      <c r="M8" s="2"/>
      <c r="N8" t="s">
        <v>238</v>
      </c>
    </row>
    <row r="9" spans="1:18" x14ac:dyDescent="0.2">
      <c r="A9"/>
      <c r="B9"/>
      <c r="C9" s="22" t="s">
        <v>252</v>
      </c>
      <c r="D9" s="10" t="s">
        <v>253</v>
      </c>
      <c r="E9"/>
      <c r="F9"/>
      <c r="G9"/>
      <c r="H9"/>
      <c r="I9"/>
      <c r="J9"/>
      <c r="K9"/>
      <c r="L9"/>
      <c r="M9" s="2"/>
      <c r="N9" s="89">
        <v>44561</v>
      </c>
    </row>
    <row r="10" spans="1:18" x14ac:dyDescent="0.2">
      <c r="A10" t="s">
        <v>239</v>
      </c>
      <c r="B10"/>
      <c r="C10" t="s">
        <v>240</v>
      </c>
      <c r="D10" t="s">
        <v>254</v>
      </c>
      <c r="E10"/>
      <c r="F10" t="s">
        <v>255</v>
      </c>
      <c r="G10"/>
      <c r="H10" t="s">
        <v>256</v>
      </c>
      <c r="I10"/>
      <c r="J10" t="s">
        <v>257</v>
      </c>
      <c r="K10"/>
      <c r="L10"/>
      <c r="M10" s="2"/>
      <c r="P10"/>
      <c r="Q10"/>
    </row>
    <row r="11" spans="1:18" x14ac:dyDescent="0.2">
      <c r="A11" s="9" t="s">
        <v>34</v>
      </c>
      <c r="B11" s="9"/>
      <c r="C11" s="9" t="s">
        <v>235</v>
      </c>
      <c r="D11" s="9" t="s">
        <v>258</v>
      </c>
      <c r="E11" s="9" t="s">
        <v>259</v>
      </c>
      <c r="F11" s="9" t="s">
        <v>258</v>
      </c>
      <c r="G11" s="9" t="s">
        <v>259</v>
      </c>
      <c r="H11" s="9" t="s">
        <v>258</v>
      </c>
      <c r="I11" s="9" t="s">
        <v>259</v>
      </c>
      <c r="J11" s="9" t="s">
        <v>258</v>
      </c>
      <c r="K11" s="9" t="s">
        <v>259</v>
      </c>
      <c r="L11" s="50"/>
      <c r="M11" s="2"/>
      <c r="N11" s="9" t="s">
        <v>235</v>
      </c>
      <c r="Q11"/>
    </row>
    <row r="12" spans="1:18" x14ac:dyDescent="0.2">
      <c r="A12" s="13" t="str">
        <f>TEXT(COLUMN(),"(#)")</f>
        <v>(1)</v>
      </c>
      <c r="B12" s="13"/>
      <c r="C12" s="11" t="str">
        <f t="shared" ref="C12:K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/>
      <c r="M12" s="2"/>
      <c r="Q12"/>
    </row>
    <row r="13" spans="1:18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  <c r="O13"/>
      <c r="Q13"/>
    </row>
    <row r="14" spans="1:18" x14ac:dyDescent="0.2">
      <c r="A14" s="12" t="str">
        <f t="shared" ref="A14:A51" si="1">TEXT(DATE(YEAR(A15+1),MONTH(A15+1)-3,1)-1,"m/d/yyyy")</f>
        <v>3/31/2012</v>
      </c>
      <c r="B14" s="25"/>
      <c r="C14" s="330">
        <f>'[3]Boeckh (R)'!D62</f>
        <v>2092.6853822098215</v>
      </c>
      <c r="D14" s="114">
        <f>TREND($C$14:$C$53,$N$14:$N$53,$N14,TRUE)</f>
        <v>2088.9326938684826</v>
      </c>
      <c r="E14" s="114">
        <f>GROWTH($C$14:$C$53,$N$14:$N$53,$N14,TRUE)</f>
        <v>2101.1663611038298</v>
      </c>
      <c r="F14" s="36"/>
      <c r="G14"/>
      <c r="H14" s="36"/>
      <c r="I14"/>
      <c r="J14" s="36"/>
      <c r="K14"/>
      <c r="L14"/>
      <c r="M14" s="2"/>
      <c r="N14" s="12">
        <f t="shared" ref="N14:N53" si="2">YEAR(A14)+MONTH(A14)/12</f>
        <v>2012.25</v>
      </c>
      <c r="O14"/>
      <c r="Q14"/>
    </row>
    <row r="15" spans="1:18" x14ac:dyDescent="0.2">
      <c r="A15" s="12" t="str">
        <f t="shared" si="1"/>
        <v>6/30/2012</v>
      </c>
      <c r="B15" s="25"/>
      <c r="C15" s="330">
        <f>'[3]Boeckh (R)'!D63</f>
        <v>2103.67658390625</v>
      </c>
      <c r="D15" s="114">
        <f t="shared" ref="D15:D53" si="3">TREND($C$14:$C$53,$N$14:$N$53,$N15,TRUE)</f>
        <v>2102.5659870060626</v>
      </c>
      <c r="E15" s="114">
        <f t="shared" ref="E15:E53" si="4">GROWTH($C$14:$C$53,$N$14:$N$53,$N15,TRUE)</f>
        <v>2113.2110494620556</v>
      </c>
      <c r="F15" s="36"/>
      <c r="G15"/>
      <c r="H15" s="36"/>
      <c r="I15"/>
      <c r="J15" s="36"/>
      <c r="K15"/>
      <c r="L15"/>
      <c r="M15" s="2"/>
      <c r="N15" s="12">
        <f t="shared" si="2"/>
        <v>2012.5</v>
      </c>
      <c r="O15" s="17"/>
      <c r="P15" s="17"/>
      <c r="Q15" s="17"/>
    </row>
    <row r="16" spans="1:18" x14ac:dyDescent="0.2">
      <c r="A16" s="12" t="str">
        <f t="shared" si="1"/>
        <v>9/30/2012</v>
      </c>
      <c r="B16" s="25"/>
      <c r="C16" s="330">
        <f>'[3]Boeckh (R)'!D64</f>
        <v>2121.4649248437499</v>
      </c>
      <c r="D16" s="114">
        <f t="shared" si="3"/>
        <v>2116.1992801436427</v>
      </c>
      <c r="E16" s="114">
        <f t="shared" si="4"/>
        <v>2125.3247825757567</v>
      </c>
      <c r="F16" s="36"/>
      <c r="G16"/>
      <c r="H16" s="36"/>
      <c r="I16"/>
      <c r="J16" s="36"/>
      <c r="K16"/>
      <c r="L16"/>
      <c r="M16" s="2"/>
      <c r="N16" s="12">
        <f t="shared" si="2"/>
        <v>2012.75</v>
      </c>
      <c r="O16"/>
      <c r="Q16"/>
    </row>
    <row r="17" spans="1:17" x14ac:dyDescent="0.2">
      <c r="A17" s="12" t="str">
        <f t="shared" si="1"/>
        <v>12/31/2012</v>
      </c>
      <c r="B17" s="25"/>
      <c r="C17" s="330">
        <f>'[3]Boeckh (R)'!D65</f>
        <v>2139.9674865625002</v>
      </c>
      <c r="D17" s="114">
        <f t="shared" si="3"/>
        <v>2129.8325732812227</v>
      </c>
      <c r="E17" s="114">
        <f t="shared" si="4"/>
        <v>2137.507956235881</v>
      </c>
      <c r="F17" s="36"/>
      <c r="G17"/>
      <c r="H17" s="36"/>
      <c r="I17"/>
      <c r="J17" s="36"/>
      <c r="K17"/>
      <c r="L17"/>
      <c r="M17" s="2"/>
      <c r="N17" s="12">
        <f t="shared" si="2"/>
        <v>2013</v>
      </c>
      <c r="O17"/>
      <c r="Q17"/>
    </row>
    <row r="18" spans="1:17" x14ac:dyDescent="0.2">
      <c r="A18" s="12" t="str">
        <f t="shared" si="1"/>
        <v>3/31/2013</v>
      </c>
      <c r="B18" s="25"/>
      <c r="C18" s="330">
        <f>'[3]Boeckh (R)'!D66</f>
        <v>2155.4573617968749</v>
      </c>
      <c r="D18" s="114">
        <f t="shared" si="3"/>
        <v>2143.4658664188173</v>
      </c>
      <c r="E18" s="114">
        <f t="shared" si="4"/>
        <v>2149.7609685021407</v>
      </c>
      <c r="F18" s="36"/>
      <c r="G18"/>
      <c r="H18" s="36"/>
      <c r="I18"/>
      <c r="J18" s="36"/>
      <c r="K18"/>
      <c r="L18"/>
      <c r="M18" s="2"/>
      <c r="N18" s="12">
        <f t="shared" si="2"/>
        <v>2013.25</v>
      </c>
      <c r="Q18"/>
    </row>
    <row r="19" spans="1:17" x14ac:dyDescent="0.2">
      <c r="A19" s="12" t="str">
        <f t="shared" si="1"/>
        <v>6/30/2013</v>
      </c>
      <c r="B19" s="25"/>
      <c r="C19" s="330">
        <f>'[3]Boeckh (R)'!D67</f>
        <v>2172.5562767187498</v>
      </c>
      <c r="D19" s="114">
        <f t="shared" si="3"/>
        <v>2157.0991595563974</v>
      </c>
      <c r="E19" s="114">
        <f t="shared" si="4"/>
        <v>2162.0842197161396</v>
      </c>
      <c r="F19" s="36"/>
      <c r="G19"/>
      <c r="H19" s="36"/>
      <c r="I19"/>
      <c r="J19" s="36"/>
      <c r="K19"/>
      <c r="L19"/>
      <c r="M19" s="2"/>
      <c r="N19" s="12">
        <f t="shared" si="2"/>
        <v>2013.5</v>
      </c>
      <c r="Q19"/>
    </row>
    <row r="20" spans="1:17" x14ac:dyDescent="0.2">
      <c r="A20" s="12" t="str">
        <f t="shared" si="1"/>
        <v>9/30/2013</v>
      </c>
      <c r="B20" s="25"/>
      <c r="C20" s="330">
        <f>'[3]Boeckh (R)'!D68</f>
        <v>2188.3282736718747</v>
      </c>
      <c r="D20" s="114">
        <f t="shared" si="3"/>
        <v>2170.7324526939774</v>
      </c>
      <c r="E20" s="114">
        <f t="shared" si="4"/>
        <v>2174.4781125143309</v>
      </c>
      <c r="F20" s="36"/>
      <c r="G20"/>
      <c r="H20" s="36"/>
      <c r="I20"/>
      <c r="J20" s="36"/>
      <c r="K20"/>
      <c r="L20"/>
      <c r="M20" s="2"/>
      <c r="N20" s="12">
        <f t="shared" si="2"/>
        <v>2013.75</v>
      </c>
      <c r="Q20"/>
    </row>
    <row r="21" spans="1:17" x14ac:dyDescent="0.2">
      <c r="A21" s="12" t="str">
        <f t="shared" si="1"/>
        <v>12/31/2013</v>
      </c>
      <c r="B21" s="25"/>
      <c r="C21" s="330">
        <f>'[3]Boeckh (R)'!D69</f>
        <v>2202.6592412500004</v>
      </c>
      <c r="D21" s="114">
        <f>TREND($C$14:$C$53,$N$14:$N$53,$N21,TRUE)</f>
        <v>2184.3657458315574</v>
      </c>
      <c r="E21" s="114">
        <f t="shared" si="4"/>
        <v>2186.9430518412955</v>
      </c>
      <c r="F21" s="36"/>
      <c r="G21"/>
      <c r="H21" s="36"/>
      <c r="I21"/>
      <c r="J21" s="36"/>
      <c r="K21"/>
      <c r="L21"/>
      <c r="M21" s="2"/>
      <c r="N21" s="12">
        <f t="shared" si="2"/>
        <v>2014</v>
      </c>
      <c r="Q21"/>
    </row>
    <row r="22" spans="1:17" x14ac:dyDescent="0.2">
      <c r="A22" s="12" t="str">
        <f t="shared" si="1"/>
        <v>3/31/2014</v>
      </c>
      <c r="B22" s="25"/>
      <c r="C22" s="330">
        <f>'[3]Boeckh (R)'!D70</f>
        <v>2219.6668832812502</v>
      </c>
      <c r="D22" s="114">
        <f t="shared" si="3"/>
        <v>2197.9990389691375</v>
      </c>
      <c r="E22" s="114">
        <f t="shared" si="4"/>
        <v>2199.4794449628498</v>
      </c>
      <c r="F22" s="36"/>
      <c r="G22"/>
      <c r="H22" s="36"/>
      <c r="I22"/>
      <c r="J22" s="36"/>
      <c r="K22"/>
      <c r="L22"/>
      <c r="M22" s="2"/>
      <c r="N22" s="12">
        <f t="shared" si="2"/>
        <v>2014.25</v>
      </c>
      <c r="Q22"/>
    </row>
    <row r="23" spans="1:17" x14ac:dyDescent="0.2">
      <c r="A23" s="12" t="str">
        <f t="shared" si="1"/>
        <v>6/30/2014</v>
      </c>
      <c r="B23" s="51"/>
      <c r="C23" s="330">
        <f>'[3]Boeckh (R)'!D71</f>
        <v>2239.006476171875</v>
      </c>
      <c r="D23" s="114">
        <f t="shared" si="3"/>
        <v>2211.6323321067175</v>
      </c>
      <c r="E23" s="114">
        <f t="shared" si="4"/>
        <v>2212.0877014794751</v>
      </c>
      <c r="F23" s="36"/>
      <c r="G23"/>
      <c r="H23" s="36"/>
      <c r="I23"/>
      <c r="J23" s="36"/>
      <c r="K23"/>
      <c r="L23"/>
      <c r="M23" s="2"/>
      <c r="N23" s="12">
        <f t="shared" si="2"/>
        <v>2014.5</v>
      </c>
      <c r="Q23"/>
    </row>
    <row r="24" spans="1:17" x14ac:dyDescent="0.2">
      <c r="A24" s="12" t="str">
        <f t="shared" si="1"/>
        <v>9/30/2014</v>
      </c>
      <c r="B24"/>
      <c r="C24" s="330">
        <f>'[3]Boeckh (R)'!D72</f>
        <v>2257.4206734374998</v>
      </c>
      <c r="D24" s="114">
        <f t="shared" si="3"/>
        <v>2225.2656252443121</v>
      </c>
      <c r="E24" s="114">
        <f t="shared" si="4"/>
        <v>2224.7682333395933</v>
      </c>
      <c r="F24"/>
      <c r="G24"/>
      <c r="H24"/>
      <c r="I24"/>
      <c r="J24"/>
      <c r="K24"/>
      <c r="L24"/>
      <c r="M24" s="2"/>
      <c r="N24" s="12">
        <f t="shared" si="2"/>
        <v>2014.75</v>
      </c>
      <c r="Q24"/>
    </row>
    <row r="25" spans="1:17" x14ac:dyDescent="0.2">
      <c r="A25" s="12" t="str">
        <f t="shared" si="1"/>
        <v>12/31/2014</v>
      </c>
      <c r="B25"/>
      <c r="C25" s="330">
        <f>'[3]Boeckh (R)'!D73</f>
        <v>2275.5617031249999</v>
      </c>
      <c r="D25" s="114">
        <f t="shared" si="3"/>
        <v>2238.8989183818921</v>
      </c>
      <c r="E25" s="114">
        <f t="shared" si="4"/>
        <v>2237.5214548530698</v>
      </c>
      <c r="F25"/>
      <c r="G25"/>
      <c r="H25"/>
      <c r="I25"/>
      <c r="J25"/>
      <c r="K25"/>
      <c r="L25"/>
      <c r="M25" s="2"/>
      <c r="N25" s="12">
        <f t="shared" si="2"/>
        <v>2015</v>
      </c>
      <c r="Q25"/>
    </row>
    <row r="26" spans="1:17" x14ac:dyDescent="0.2">
      <c r="A26" s="12" t="str">
        <f t="shared" si="1"/>
        <v>3/31/2015</v>
      </c>
      <c r="B26"/>
      <c r="C26" s="330">
        <f>'[3]Boeckh (R)'!D74</f>
        <v>2293.586478515625</v>
      </c>
      <c r="D26" s="114">
        <f t="shared" si="3"/>
        <v>2252.5322115194722</v>
      </c>
      <c r="E26" s="114">
        <f t="shared" si="4"/>
        <v>2250.3477827048023</v>
      </c>
      <c r="F26"/>
      <c r="G26"/>
      <c r="H26"/>
      <c r="I26"/>
      <c r="J26"/>
      <c r="K26"/>
      <c r="L26"/>
      <c r="M26" s="2"/>
      <c r="N26" s="12">
        <f t="shared" si="2"/>
        <v>2015.25</v>
      </c>
    </row>
    <row r="27" spans="1:17" x14ac:dyDescent="0.2">
      <c r="A27" s="12" t="str">
        <f t="shared" si="1"/>
        <v>6/30/2015</v>
      </c>
      <c r="B27"/>
      <c r="C27" s="330">
        <f>'[3]Boeckh (R)'!D75</f>
        <v>2307.5486684374996</v>
      </c>
      <c r="D27" s="114">
        <f t="shared" si="3"/>
        <v>2266.1655046570522</v>
      </c>
      <c r="E27" s="114">
        <f t="shared" si="4"/>
        <v>2263.2476359682209</v>
      </c>
      <c r="F27"/>
      <c r="G27"/>
      <c r="H27"/>
      <c r="I27"/>
      <c r="J27"/>
      <c r="K27"/>
      <c r="L27"/>
      <c r="M27" s="2"/>
      <c r="N27" s="12">
        <f t="shared" si="2"/>
        <v>2015.5</v>
      </c>
    </row>
    <row r="28" spans="1:17" x14ac:dyDescent="0.2">
      <c r="A28" s="12" t="str">
        <f t="shared" si="1"/>
        <v>9/30/2015</v>
      </c>
      <c r="B28"/>
      <c r="C28" s="330">
        <f>'[3]Boeckh (R)'!D76</f>
        <v>2316.0157391406246</v>
      </c>
      <c r="D28" s="114">
        <f t="shared" si="3"/>
        <v>2279.7987977946323</v>
      </c>
      <c r="E28" s="114">
        <f t="shared" si="4"/>
        <v>2276.2214361191086</v>
      </c>
      <c r="F28"/>
      <c r="G28"/>
      <c r="H28"/>
      <c r="I28"/>
      <c r="J28"/>
      <c r="K28"/>
      <c r="L28"/>
      <c r="M28" s="2"/>
      <c r="N28" s="12">
        <f t="shared" si="2"/>
        <v>2015.75</v>
      </c>
    </row>
    <row r="29" spans="1:17" x14ac:dyDescent="0.2">
      <c r="A29" s="12" t="str">
        <f t="shared" si="1"/>
        <v>12/31/2015</v>
      </c>
      <c r="B29"/>
      <c r="C29" s="330">
        <f>'[3]Boeckh (R)'!D77</f>
        <v>2319.8966374218749</v>
      </c>
      <c r="D29" s="114">
        <f t="shared" si="3"/>
        <v>2293.4320909322123</v>
      </c>
      <c r="E29" s="114">
        <f t="shared" si="4"/>
        <v>2289.2696070492439</v>
      </c>
      <c r="F29"/>
      <c r="G29"/>
      <c r="H29"/>
      <c r="I29"/>
      <c r="J29"/>
      <c r="K29"/>
      <c r="L29"/>
      <c r="M29" s="2"/>
      <c r="N29" s="12">
        <f t="shared" si="2"/>
        <v>2016</v>
      </c>
    </row>
    <row r="30" spans="1:17" x14ac:dyDescent="0.2">
      <c r="A30" s="12" t="str">
        <f t="shared" si="1"/>
        <v>3/31/2016</v>
      </c>
      <c r="B30"/>
      <c r="C30" s="330">
        <f>'[3]Boeckh (R)'!D78</f>
        <v>2316.4368912499999</v>
      </c>
      <c r="D30" s="114">
        <f t="shared" si="3"/>
        <v>2307.0653840698069</v>
      </c>
      <c r="E30" s="114">
        <f t="shared" si="4"/>
        <v>2302.3925750803814</v>
      </c>
      <c r="F30"/>
      <c r="G30"/>
      <c r="H30"/>
      <c r="I30"/>
      <c r="J30"/>
      <c r="K30"/>
      <c r="L30"/>
      <c r="M30" s="2"/>
      <c r="N30" s="12">
        <f t="shared" si="2"/>
        <v>2016.25</v>
      </c>
      <c r="O30" s="110"/>
      <c r="P30" s="84"/>
    </row>
    <row r="31" spans="1:17" x14ac:dyDescent="0.2">
      <c r="A31" s="12" t="str">
        <f t="shared" si="1"/>
        <v>6/30/2016</v>
      </c>
      <c r="B31" s="109"/>
      <c r="C31" s="330">
        <f>'[3]Boeckh (R)'!D79</f>
        <v>2308.4052721093749</v>
      </c>
      <c r="D31" s="114">
        <f t="shared" si="3"/>
        <v>2320.6986772073869</v>
      </c>
      <c r="E31" s="114">
        <f t="shared" si="4"/>
        <v>2315.5907689780474</v>
      </c>
      <c r="F31" s="29"/>
      <c r="G31" s="102"/>
      <c r="H31" s="29"/>
      <c r="I31" s="102"/>
      <c r="J31" s="29"/>
      <c r="K31" s="102"/>
      <c r="L31" s="102"/>
      <c r="M31" s="2"/>
      <c r="N31" s="12">
        <f t="shared" si="2"/>
        <v>2016.5</v>
      </c>
    </row>
    <row r="32" spans="1:17" x14ac:dyDescent="0.2">
      <c r="A32" s="12" t="str">
        <f t="shared" si="1"/>
        <v>9/30/2016</v>
      </c>
      <c r="B32" s="109"/>
      <c r="C32" s="330">
        <f>'[3]Boeckh (R)'!D80</f>
        <v>2301.2550189843751</v>
      </c>
      <c r="D32" s="114">
        <f t="shared" si="3"/>
        <v>2334.331970344967</v>
      </c>
      <c r="E32" s="114">
        <f t="shared" si="4"/>
        <v>2328.8646199656837</v>
      </c>
      <c r="F32" s="29"/>
      <c r="G32" s="102"/>
      <c r="H32" s="29"/>
      <c r="I32" s="102"/>
      <c r="J32" s="29"/>
      <c r="K32" s="102"/>
      <c r="L32" s="102"/>
      <c r="M32" s="2"/>
      <c r="N32" s="12">
        <f t="shared" si="2"/>
        <v>2016.75</v>
      </c>
    </row>
    <row r="33" spans="1:14" x14ac:dyDescent="0.2">
      <c r="A33" s="12" t="str">
        <f t="shared" si="1"/>
        <v>12/31/2016</v>
      </c>
      <c r="B33" s="51"/>
      <c r="C33" s="330">
        <f>'[3]Boeckh (R)'!D81</f>
        <v>2296.5396237499999</v>
      </c>
      <c r="D33" s="114">
        <f t="shared" si="3"/>
        <v>2347.965263482547</v>
      </c>
      <c r="E33" s="114">
        <f t="shared" si="4"/>
        <v>2342.2145617386013</v>
      </c>
      <c r="F33" s="29"/>
      <c r="G33" s="102"/>
      <c r="H33" s="29"/>
      <c r="I33" s="102"/>
      <c r="J33" s="29"/>
      <c r="K33" s="102"/>
      <c r="L33" s="102"/>
      <c r="M33" s="2"/>
      <c r="N33" s="12">
        <f t="shared" si="2"/>
        <v>2017</v>
      </c>
    </row>
    <row r="34" spans="1:14" x14ac:dyDescent="0.2">
      <c r="A34" s="12" t="str">
        <f t="shared" si="1"/>
        <v>3/31/2017</v>
      </c>
      <c r="B34" s="51"/>
      <c r="C34" s="330">
        <f>'[3]Boeckh (R)'!D82</f>
        <v>2299.4008416406245</v>
      </c>
      <c r="D34" s="114">
        <f t="shared" si="3"/>
        <v>2361.5985566201271</v>
      </c>
      <c r="E34" s="114">
        <f t="shared" si="4"/>
        <v>2355.6410304782876</v>
      </c>
      <c r="F34" s="114">
        <f>TREND($C$34:$C$53,$N$34:$N$53,$N34,TRUE)</f>
        <v>2265.833580178587</v>
      </c>
      <c r="G34" s="114">
        <f t="shared" ref="G34:G52" si="5">GROWTH($C$34:$C$53,$N$34:$N$53,$N34,TRUE)</f>
        <v>2274.6440616010022</v>
      </c>
      <c r="H34" s="29"/>
      <c r="I34" s="102"/>
      <c r="J34" s="29"/>
      <c r="K34" s="102"/>
      <c r="L34" s="102"/>
      <c r="M34" s="2"/>
      <c r="N34" s="12">
        <f t="shared" si="2"/>
        <v>2017.25</v>
      </c>
    </row>
    <row r="35" spans="1:14" x14ac:dyDescent="0.2">
      <c r="A35" s="12" t="str">
        <f t="shared" si="1"/>
        <v>6/30/2017</v>
      </c>
      <c r="B35" s="109"/>
      <c r="C35" s="330">
        <f>'[3]Boeckh (R)'!D83</f>
        <v>2309.76593328125</v>
      </c>
      <c r="D35" s="114">
        <f t="shared" si="3"/>
        <v>2375.2318497577071</v>
      </c>
      <c r="E35" s="114">
        <f t="shared" si="4"/>
        <v>2369.1444648665197</v>
      </c>
      <c r="F35" s="114">
        <f t="shared" ref="F35:F52" si="6">TREND($C$34:$C$53,$N$34:$N$53,$N35,TRUE)</f>
        <v>2288.1834180832957</v>
      </c>
      <c r="G35" s="114">
        <f t="shared" si="5"/>
        <v>2294.8582402124675</v>
      </c>
      <c r="H35" s="36"/>
      <c r="I35" s="102"/>
      <c r="J35" s="36"/>
      <c r="K35" s="102"/>
      <c r="L35" s="102"/>
      <c r="M35" s="2"/>
      <c r="N35" s="12">
        <f t="shared" si="2"/>
        <v>2017.5</v>
      </c>
    </row>
    <row r="36" spans="1:14" x14ac:dyDescent="0.2">
      <c r="A36" s="12" t="str">
        <f t="shared" si="1"/>
        <v>9/30/2017</v>
      </c>
      <c r="B36" s="22"/>
      <c r="C36" s="330">
        <f>'[3]Boeckh (R)'!D84</f>
        <v>2326.2998086718749</v>
      </c>
      <c r="D36" s="114">
        <f t="shared" si="3"/>
        <v>2388.8651428953017</v>
      </c>
      <c r="E36" s="114">
        <f t="shared" si="4"/>
        <v>2382.7253060998346</v>
      </c>
      <c r="F36" s="114">
        <f t="shared" si="6"/>
        <v>2310.5332559880335</v>
      </c>
      <c r="G36" s="114">
        <f t="shared" si="5"/>
        <v>2315.252057046825</v>
      </c>
      <c r="H36"/>
      <c r="I36"/>
      <c r="J36"/>
      <c r="K36"/>
      <c r="L36"/>
      <c r="M36" s="2"/>
      <c r="N36" s="12">
        <f t="shared" si="2"/>
        <v>2017.75</v>
      </c>
    </row>
    <row r="37" spans="1:14" x14ac:dyDescent="0.2">
      <c r="A37" s="12" t="str">
        <f t="shared" si="1"/>
        <v>12/31/2017</v>
      </c>
      <c r="B37" s="22"/>
      <c r="C37" s="330">
        <f>'[3]Boeckh (R)'!D85</f>
        <v>2343.8064457812497</v>
      </c>
      <c r="D37" s="114">
        <f t="shared" si="3"/>
        <v>2402.4984360328817</v>
      </c>
      <c r="E37" s="114">
        <f t="shared" si="4"/>
        <v>2396.3839979038089</v>
      </c>
      <c r="F37" s="114">
        <f t="shared" si="6"/>
        <v>2332.8830938927422</v>
      </c>
      <c r="G37" s="114">
        <f t="shared" si="5"/>
        <v>2335.827108502905</v>
      </c>
      <c r="H37"/>
      <c r="J37"/>
      <c r="M37" s="2"/>
      <c r="N37" s="12">
        <f t="shared" si="2"/>
        <v>2018</v>
      </c>
    </row>
    <row r="38" spans="1:14" x14ac:dyDescent="0.2">
      <c r="A38" s="12" t="str">
        <f t="shared" si="1"/>
        <v>3/31/2018</v>
      </c>
      <c r="B38" s="22"/>
      <c r="C38" s="330">
        <f>'[3]Boeckh (R)'!D86</f>
        <v>2363.7419721874999</v>
      </c>
      <c r="D38" s="114">
        <f t="shared" si="3"/>
        <v>2416.1317291704618</v>
      </c>
      <c r="E38" s="114">
        <f t="shared" si="4"/>
        <v>2410.1209865476912</v>
      </c>
      <c r="F38" s="114">
        <f t="shared" si="6"/>
        <v>2355.23293179748</v>
      </c>
      <c r="G38" s="114">
        <f t="shared" si="5"/>
        <v>2356.5850051663278</v>
      </c>
      <c r="H38" s="114">
        <f t="shared" ref="H38:H53" si="7">TREND($C$38:$C$53,$N$38:$N$53,$N38,TRUE)</f>
        <v>2331.2516872070264</v>
      </c>
      <c r="I38" s="114">
        <f t="shared" ref="I38:I53" si="8">GROWTH($C$38:$C$53,$N$38:$N$53,$N38,TRUE)</f>
        <v>2339.0358576228045</v>
      </c>
      <c r="J38" s="102"/>
      <c r="K38" s="102"/>
      <c r="L38" s="102"/>
      <c r="M38" s="2"/>
      <c r="N38" s="12">
        <f t="shared" si="2"/>
        <v>2018.25</v>
      </c>
    </row>
    <row r="39" spans="1:14" x14ac:dyDescent="0.2">
      <c r="A39" s="12" t="str">
        <f t="shared" si="1"/>
        <v>6/30/2018</v>
      </c>
      <c r="B39" s="22"/>
      <c r="C39" s="330">
        <f>'[3]Boeckh (R)'!D87</f>
        <v>2386.9934075000001</v>
      </c>
      <c r="D39" s="114">
        <f t="shared" si="3"/>
        <v>2429.7650223080418</v>
      </c>
      <c r="E39" s="114">
        <f t="shared" si="4"/>
        <v>2423.9367208588478</v>
      </c>
      <c r="F39" s="114">
        <f t="shared" si="6"/>
        <v>2377.5827697021887</v>
      </c>
      <c r="G39" s="114">
        <f t="shared" si="5"/>
        <v>2377.5273719355732</v>
      </c>
      <c r="H39" s="114">
        <f t="shared" si="7"/>
        <v>2356.1170270468574</v>
      </c>
      <c r="I39" s="114">
        <f t="shared" si="8"/>
        <v>2361.6739774332445</v>
      </c>
      <c r="J39" s="102"/>
      <c r="K39" s="102"/>
      <c r="L39" s="102"/>
      <c r="M39" s="2"/>
      <c r="N39" s="12">
        <f t="shared" si="2"/>
        <v>2018.5</v>
      </c>
    </row>
    <row r="40" spans="1:14" x14ac:dyDescent="0.2">
      <c r="A40" s="12" t="str">
        <f t="shared" si="1"/>
        <v>9/30/2018</v>
      </c>
      <c r="B40" s="22"/>
      <c r="C40" s="330">
        <f>'[3]Boeckh (R)'!D88</f>
        <v>2413.5249035156248</v>
      </c>
      <c r="D40" s="114">
        <f t="shared" si="3"/>
        <v>2443.3983154456218</v>
      </c>
      <c r="E40" s="114">
        <f t="shared" si="4"/>
        <v>2437.8316522375644</v>
      </c>
      <c r="F40" s="114">
        <f t="shared" si="6"/>
        <v>2399.9326076069265</v>
      </c>
      <c r="G40" s="114">
        <f t="shared" si="5"/>
        <v>2398.6558481491784</v>
      </c>
      <c r="H40" s="114">
        <f t="shared" si="7"/>
        <v>2380.9823668867175</v>
      </c>
      <c r="I40" s="114">
        <f t="shared" si="8"/>
        <v>2384.531197975673</v>
      </c>
      <c r="J40" s="102"/>
      <c r="K40" s="102"/>
      <c r="L40" s="102"/>
      <c r="M40" s="2"/>
      <c r="N40" s="12">
        <f t="shared" si="2"/>
        <v>2018.75</v>
      </c>
    </row>
    <row r="41" spans="1:14" x14ac:dyDescent="0.2">
      <c r="A41" s="12" t="str">
        <f t="shared" si="1"/>
        <v>12/31/2018</v>
      </c>
      <c r="B41" s="22"/>
      <c r="C41" s="330">
        <f>'[3]Boeckh (R)'!D89</f>
        <v>2441.1228667187502</v>
      </c>
      <c r="D41" s="114">
        <f t="shared" si="3"/>
        <v>2457.0316085832019</v>
      </c>
      <c r="E41" s="114">
        <f>GROWTH($C$14:$C$53,$N$14:$N$53,$N41,TRUE)</f>
        <v>2451.8062346716551</v>
      </c>
      <c r="F41" s="114">
        <f t="shared" si="6"/>
        <v>2422.2824455116352</v>
      </c>
      <c r="G41" s="114">
        <f t="shared" si="5"/>
        <v>2419.9720877140608</v>
      </c>
      <c r="H41" s="114">
        <f t="shared" si="7"/>
        <v>2405.8477067265485</v>
      </c>
      <c r="I41" s="114">
        <f t="shared" si="8"/>
        <v>2407.6096397941951</v>
      </c>
      <c r="J41" s="50"/>
      <c r="K41" s="58"/>
      <c r="L41" s="58"/>
      <c r="M41" s="2"/>
      <c r="N41" s="12">
        <f t="shared" si="2"/>
        <v>2019</v>
      </c>
    </row>
    <row r="42" spans="1:14" x14ac:dyDescent="0.2">
      <c r="A42" s="12" t="str">
        <f t="shared" si="1"/>
        <v>3/31/2019</v>
      </c>
      <c r="C42" s="330">
        <f>'[3]Boeckh (R)'!D90</f>
        <v>2461.6930456250002</v>
      </c>
      <c r="D42" s="114">
        <f t="shared" si="3"/>
        <v>2470.6649017207965</v>
      </c>
      <c r="E42" s="114">
        <f t="shared" si="4"/>
        <v>2465.8609247514364</v>
      </c>
      <c r="F42" s="114">
        <f>TREND($C$34:$C$53,$N$34:$N$53,$N42,TRUE)</f>
        <v>2444.632283416373</v>
      </c>
      <c r="G42" s="114">
        <f t="shared" si="5"/>
        <v>2441.477759234986</v>
      </c>
      <c r="H42" s="114">
        <f t="shared" si="7"/>
        <v>2430.7130465664086</v>
      </c>
      <c r="I42" s="114">
        <f t="shared" si="8"/>
        <v>2430.9114439562845</v>
      </c>
      <c r="J42" s="114">
        <f t="shared" ref="J42:J52" si="9">TREND($C$42:$C$53,$N$42:$N$53,$N42,TRUE)</f>
        <v>2379.6093046324095</v>
      </c>
      <c r="K42" s="114">
        <f>GROWTH($C$42:$C$53,$N$42:$N$53,$N42,TRUE)</f>
        <v>2387.0905169278772</v>
      </c>
      <c r="L42" s="114"/>
      <c r="M42" s="2"/>
      <c r="N42" s="12">
        <f t="shared" si="2"/>
        <v>2019.25</v>
      </c>
    </row>
    <row r="43" spans="1:14" x14ac:dyDescent="0.2">
      <c r="A43" s="12" t="str">
        <f t="shared" si="1"/>
        <v>6/30/2019</v>
      </c>
      <c r="B43" s="109"/>
      <c r="C43" s="330">
        <f>'[3]Boeckh (R)'!D91</f>
        <v>2471.52187125</v>
      </c>
      <c r="D43" s="114">
        <f t="shared" si="3"/>
        <v>2484.2981948583765</v>
      </c>
      <c r="E43" s="114">
        <f t="shared" si="4"/>
        <v>2479.9961816845039</v>
      </c>
      <c r="F43" s="114">
        <f t="shared" si="6"/>
        <v>2466.9821213210816</v>
      </c>
      <c r="G43" s="114">
        <f t="shared" si="5"/>
        <v>2463.1745461451806</v>
      </c>
      <c r="H43" s="114">
        <f t="shared" si="7"/>
        <v>2455.5783864062396</v>
      </c>
      <c r="I43" s="114">
        <f t="shared" si="8"/>
        <v>2454.4387722516194</v>
      </c>
      <c r="J43" s="114">
        <f t="shared" si="9"/>
        <v>2411.7785920654715</v>
      </c>
      <c r="K43" s="114">
        <f t="shared" ref="K43:K52" si="10">GROWTH($C$42:$C$53,$N$42:$N$53,$N43,TRUE)</f>
        <v>2416.4541614694131</v>
      </c>
      <c r="L43" s="114"/>
      <c r="M43" s="2"/>
      <c r="N43" s="12">
        <f t="shared" si="2"/>
        <v>2019.5</v>
      </c>
    </row>
    <row r="44" spans="1:14" x14ac:dyDescent="0.2">
      <c r="A44" s="12" t="str">
        <f t="shared" si="1"/>
        <v>9/30/2019</v>
      </c>
      <c r="C44" s="330">
        <f>'[3]Boeckh (R)'!D92</f>
        <v>2471.0510444531246</v>
      </c>
      <c r="D44" s="114">
        <f t="shared" si="3"/>
        <v>2497.9314879959566</v>
      </c>
      <c r="E44" s="114">
        <f t="shared" si="4"/>
        <v>2494.2124673108774</v>
      </c>
      <c r="F44" s="114">
        <f t="shared" si="6"/>
        <v>2489.3319592257903</v>
      </c>
      <c r="G44" s="114">
        <f t="shared" si="5"/>
        <v>2485.0641468381127</v>
      </c>
      <c r="H44" s="114">
        <f t="shared" si="7"/>
        <v>2480.4437262460997</v>
      </c>
      <c r="I44" s="114">
        <f t="shared" si="8"/>
        <v>2478.1938073925053</v>
      </c>
      <c r="J44" s="114">
        <f t="shared" si="9"/>
        <v>2443.9478794985625</v>
      </c>
      <c r="K44" s="114">
        <f t="shared" si="10"/>
        <v>2446.1790087448412</v>
      </c>
      <c r="L44" s="114"/>
      <c r="M44" s="2"/>
      <c r="N44" s="12">
        <f t="shared" si="2"/>
        <v>2019.75</v>
      </c>
    </row>
    <row r="45" spans="1:14" x14ac:dyDescent="0.2">
      <c r="A45" s="12" t="str">
        <f t="shared" si="1"/>
        <v>12/31/2019</v>
      </c>
      <c r="C45" s="330">
        <f>'[3]Boeckh (R)'!D93</f>
        <v>2468.8600975781251</v>
      </c>
      <c r="D45" s="114">
        <f t="shared" si="3"/>
        <v>2511.5647811335366</v>
      </c>
      <c r="E45" s="114">
        <f t="shared" si="4"/>
        <v>2508.5102461179499</v>
      </c>
      <c r="F45" s="114">
        <f t="shared" si="6"/>
        <v>2511.6817971305281</v>
      </c>
      <c r="G45" s="114">
        <f t="shared" si="5"/>
        <v>2507.1482748004355</v>
      </c>
      <c r="H45" s="114">
        <f t="shared" si="7"/>
        <v>2505.3090660859307</v>
      </c>
      <c r="I45" s="114">
        <f t="shared" si="8"/>
        <v>2502.1787532164049</v>
      </c>
      <c r="J45" s="114">
        <f t="shared" si="9"/>
        <v>2476.1171669316245</v>
      </c>
      <c r="K45" s="114">
        <f t="shared" si="10"/>
        <v>2476.2695019156627</v>
      </c>
      <c r="L45" s="114"/>
      <c r="M45" s="2"/>
      <c r="N45" s="12">
        <f t="shared" si="2"/>
        <v>2020</v>
      </c>
    </row>
    <row r="46" spans="1:14" x14ac:dyDescent="0.2">
      <c r="A46" s="12" t="str">
        <f t="shared" si="1"/>
        <v>3/31/2020</v>
      </c>
      <c r="C46" s="330">
        <f>'[3]Boeckh (R)'!D94</f>
        <v>2469.8010767968749</v>
      </c>
      <c r="D46" s="114">
        <f t="shared" si="3"/>
        <v>2525.1980742711166</v>
      </c>
      <c r="E46" s="114">
        <f t="shared" si="4"/>
        <v>2522.8899852558043</v>
      </c>
      <c r="F46" s="114">
        <f t="shared" si="6"/>
        <v>2534.0316350352368</v>
      </c>
      <c r="G46" s="114">
        <f t="shared" si="5"/>
        <v>2529.4286587460856</v>
      </c>
      <c r="H46" s="114">
        <f t="shared" si="7"/>
        <v>2530.1744059257617</v>
      </c>
      <c r="I46" s="114">
        <f t="shared" si="8"/>
        <v>2526.3958348904343</v>
      </c>
      <c r="J46" s="114">
        <f t="shared" si="9"/>
        <v>2508.2864543646865</v>
      </c>
      <c r="K46" s="114">
        <f>GROWTH($C$42:$C$53,$N$42:$N$53,$N46,TRUE)</f>
        <v>2506.7301387987904</v>
      </c>
      <c r="L46" s="114"/>
      <c r="M46" s="2"/>
      <c r="N46" s="12">
        <f t="shared" si="2"/>
        <v>2020.25</v>
      </c>
    </row>
    <row r="47" spans="1:14" x14ac:dyDescent="0.2">
      <c r="A47" s="12" t="str">
        <f t="shared" si="1"/>
        <v>6/30/2020</v>
      </c>
      <c r="C47" s="330">
        <f>'[3]Boeckh (R)'!D95</f>
        <v>2476.6863333593751</v>
      </c>
      <c r="D47" s="114">
        <f t="shared" si="3"/>
        <v>2538.8313674086967</v>
      </c>
      <c r="E47" s="114">
        <f t="shared" si="4"/>
        <v>2537.352154552334</v>
      </c>
      <c r="F47" s="114">
        <f t="shared" si="6"/>
        <v>2556.3814729399746</v>
      </c>
      <c r="G47" s="114">
        <f t="shared" si="5"/>
        <v>2551.9070427517418</v>
      </c>
      <c r="H47" s="114">
        <f t="shared" si="7"/>
        <v>2555.0397457656218</v>
      </c>
      <c r="I47" s="114">
        <f t="shared" si="8"/>
        <v>2550.8472991176532</v>
      </c>
      <c r="J47" s="114">
        <f>TREND($C$42:$C$53,$N$42:$N$53,$N47,TRUE)</f>
        <v>2540.4557417977776</v>
      </c>
      <c r="K47" s="114">
        <f>GROWTH($C$42:$C$53,$N$42:$N$53,$N47,TRUE)</f>
        <v>2537.5654725388672</v>
      </c>
      <c r="L47" s="114"/>
      <c r="M47" s="2"/>
      <c r="N47" s="12">
        <f t="shared" si="2"/>
        <v>2020.5</v>
      </c>
    </row>
    <row r="48" spans="1:14" x14ac:dyDescent="0.2">
      <c r="A48" s="12" t="str">
        <f t="shared" si="1"/>
        <v>9/30/2020</v>
      </c>
      <c r="B48" s="109"/>
      <c r="C48" s="330">
        <f>'[3]Boeckh (R)'!D96</f>
        <v>2488.0473220312497</v>
      </c>
      <c r="D48" s="114">
        <f t="shared" si="3"/>
        <v>2552.4646605462913</v>
      </c>
      <c r="E48" s="114">
        <f t="shared" si="4"/>
        <v>2551.8972265287393</v>
      </c>
      <c r="F48" s="114">
        <f t="shared" si="6"/>
        <v>2578.7313108446833</v>
      </c>
      <c r="G48" s="114">
        <f t="shared" si="5"/>
        <v>2574.5851863931402</v>
      </c>
      <c r="H48" s="114">
        <f t="shared" si="7"/>
        <v>2579.9050856054528</v>
      </c>
      <c r="I48" s="114">
        <f t="shared" si="8"/>
        <v>2575.5354143457162</v>
      </c>
      <c r="J48" s="114">
        <f t="shared" si="9"/>
        <v>2572.6250292308396</v>
      </c>
      <c r="K48" s="114">
        <f t="shared" si="10"/>
        <v>2568.7801122888513</v>
      </c>
      <c r="L48" s="114"/>
      <c r="M48" s="2"/>
      <c r="N48" s="12">
        <f t="shared" si="2"/>
        <v>2020.75</v>
      </c>
    </row>
    <row r="49" spans="1:15" x14ac:dyDescent="0.2">
      <c r="A49" s="12" t="str">
        <f t="shared" si="1"/>
        <v>12/31/2020</v>
      </c>
      <c r="C49" s="330">
        <f>'[3]Boeckh (R)'!D97</f>
        <v>2516.3465549218745</v>
      </c>
      <c r="D49" s="114">
        <f t="shared" si="3"/>
        <v>2566.0979536838713</v>
      </c>
      <c r="E49" s="114">
        <f t="shared" si="4"/>
        <v>2566.525676414818</v>
      </c>
      <c r="F49" s="114">
        <f t="shared" si="6"/>
        <v>2601.0811487494211</v>
      </c>
      <c r="G49" s="114">
        <f t="shared" si="5"/>
        <v>2597.4648648829498</v>
      </c>
      <c r="H49" s="114">
        <f t="shared" si="7"/>
        <v>2604.7704254453129</v>
      </c>
      <c r="I49" s="114">
        <f t="shared" si="8"/>
        <v>2600.4624709771801</v>
      </c>
      <c r="J49" s="114">
        <f t="shared" si="9"/>
        <v>2604.7943166639307</v>
      </c>
      <c r="K49" s="114">
        <f t="shared" si="10"/>
        <v>2600.3787238989767</v>
      </c>
      <c r="L49" s="114"/>
      <c r="M49" s="2"/>
      <c r="N49" s="12">
        <f t="shared" si="2"/>
        <v>2021</v>
      </c>
    </row>
    <row r="50" spans="1:15" x14ac:dyDescent="0.2">
      <c r="A50" s="12" t="str">
        <f t="shared" si="1"/>
        <v>3/31/2021</v>
      </c>
      <c r="C50" s="330">
        <f>'[3]Boeckh (R)'!D98</f>
        <v>2553.0646219531245</v>
      </c>
      <c r="D50" s="114">
        <f>TREND($C$14:$C$53,$N$14:$N$53,$N50,TRUE)</f>
        <v>2579.7312468214514</v>
      </c>
      <c r="E50" s="114">
        <f t="shared" si="4"/>
        <v>2581.2379821646405</v>
      </c>
      <c r="F50" s="114">
        <f t="shared" si="6"/>
        <v>2623.4309866541298</v>
      </c>
      <c r="G50" s="114">
        <f t="shared" si="5"/>
        <v>2620.547869209699</v>
      </c>
      <c r="H50" s="114">
        <f t="shared" si="7"/>
        <v>2629.6357652851439</v>
      </c>
      <c r="I50" s="114">
        <f t="shared" si="8"/>
        <v>2625.6307815820314</v>
      </c>
      <c r="J50" s="114">
        <f t="shared" si="9"/>
        <v>2636.9636040969926</v>
      </c>
      <c r="K50" s="114">
        <f t="shared" si="10"/>
        <v>2632.3660306141874</v>
      </c>
      <c r="L50" s="114"/>
      <c r="M50" s="2"/>
      <c r="N50" s="12">
        <f t="shared" si="2"/>
        <v>2021.25</v>
      </c>
    </row>
    <row r="51" spans="1:15" x14ac:dyDescent="0.2">
      <c r="A51" s="12" t="str">
        <f t="shared" si="1"/>
        <v>6/30/2021</v>
      </c>
      <c r="C51" s="330">
        <f>'[3]Boeckh (R)'!D99</f>
        <v>2627.3630946093745</v>
      </c>
      <c r="D51" s="114">
        <f t="shared" si="3"/>
        <v>2593.3645399590314</v>
      </c>
      <c r="E51" s="114">
        <f t="shared" si="4"/>
        <v>2596.0346244720195</v>
      </c>
      <c r="F51" s="114">
        <f t="shared" si="6"/>
        <v>2645.7808245588676</v>
      </c>
      <c r="G51" s="114">
        <f t="shared" si="5"/>
        <v>2643.8360062779734</v>
      </c>
      <c r="H51" s="114">
        <f t="shared" si="7"/>
        <v>2654.501105125004</v>
      </c>
      <c r="I51" s="114">
        <f t="shared" si="8"/>
        <v>2651.0426811122261</v>
      </c>
      <c r="J51" s="114">
        <f t="shared" si="9"/>
        <v>2669.1328915300837</v>
      </c>
      <c r="K51" s="114">
        <f t="shared" si="10"/>
        <v>2664.7468137801511</v>
      </c>
      <c r="L51" s="114"/>
      <c r="M51" s="2"/>
      <c r="N51" s="12">
        <f t="shared" si="2"/>
        <v>2021.5</v>
      </c>
    </row>
    <row r="52" spans="1:15" x14ac:dyDescent="0.2">
      <c r="A52" s="12" t="str">
        <f>TEXT(DATE(YEAR(A53+1),MONTH(A53+1)-3,1)-1,"m/d/yyyy")</f>
        <v>9/30/2021</v>
      </c>
      <c r="C52" s="330">
        <f>'[3]Boeckh (R)'!D100</f>
        <v>2779.0065232812499</v>
      </c>
      <c r="D52" s="114">
        <f t="shared" si="3"/>
        <v>2606.9978330966114</v>
      </c>
      <c r="E52" s="114">
        <f t="shared" si="4"/>
        <v>2610.9160867863611</v>
      </c>
      <c r="F52" s="114">
        <f t="shared" si="6"/>
        <v>2668.1306624635763</v>
      </c>
      <c r="G52" s="114">
        <f t="shared" si="5"/>
        <v>2667.3310990498562</v>
      </c>
      <c r="H52" s="114">
        <f t="shared" si="7"/>
        <v>2679.366444964835</v>
      </c>
      <c r="I52" s="114">
        <f t="shared" si="8"/>
        <v>2676.7005271183539</v>
      </c>
      <c r="J52" s="114">
        <f t="shared" si="9"/>
        <v>2701.3021789631457</v>
      </c>
      <c r="K52" s="114">
        <f t="shared" si="10"/>
        <v>2697.5259135579563</v>
      </c>
      <c r="L52" s="114"/>
      <c r="M52" s="2"/>
      <c r="N52" s="12">
        <f t="shared" si="2"/>
        <v>2021.75</v>
      </c>
    </row>
    <row r="53" spans="1:15" x14ac:dyDescent="0.2">
      <c r="A53" s="12" t="str">
        <f>TEXT(N9,"m/d/yyyy")</f>
        <v>12/31/2021</v>
      </c>
      <c r="C53" s="330">
        <f>'[3]Boeckh (R)'!D101</f>
        <v>2895.0430403125001</v>
      </c>
      <c r="D53" s="114">
        <f t="shared" si="3"/>
        <v>2620.6311262341915</v>
      </c>
      <c r="E53" s="114">
        <f t="shared" si="4"/>
        <v>2625.8828553283156</v>
      </c>
      <c r="F53" s="114">
        <f>TREND($C$34:$C$53,$N$34:$N$53,$N53,TRUE)</f>
        <v>2690.4805003683141</v>
      </c>
      <c r="G53" s="114">
        <f>GROWTH($C$34:$C$53,$N$34:$N$53,$N53,TRUE)</f>
        <v>2691.0349866876263</v>
      </c>
      <c r="H53" s="114">
        <f t="shared" si="7"/>
        <v>2704.2317848046659</v>
      </c>
      <c r="I53" s="114">
        <f t="shared" si="8"/>
        <v>2702.6066999682039</v>
      </c>
      <c r="J53" s="114">
        <f>TREND($C$42:$C$53,$N$42:$N$53,$N53,TRUE)</f>
        <v>2733.4714663962077</v>
      </c>
      <c r="K53" s="114">
        <f>GROWTH($C$42:$C$53,$N$42:$N$53,$N53,TRUE)</f>
        <v>2730.7082296476024</v>
      </c>
      <c r="L53" s="161"/>
      <c r="M53" s="2"/>
      <c r="N53" s="12">
        <f t="shared" si="2"/>
        <v>2022</v>
      </c>
    </row>
    <row r="54" spans="1:15" x14ac:dyDescent="0.2">
      <c r="A54" s="115"/>
      <c r="B54" s="9"/>
      <c r="C54" s="182"/>
      <c r="D54" s="116"/>
      <c r="E54" s="116"/>
      <c r="F54" s="116"/>
      <c r="G54" s="116"/>
      <c r="H54" s="116"/>
      <c r="I54" s="116"/>
      <c r="J54" s="116"/>
      <c r="K54" s="116"/>
      <c r="L54"/>
      <c r="M54" s="2"/>
    </row>
    <row r="55" spans="1:15" x14ac:dyDescent="0.2">
      <c r="A55" s="50"/>
      <c r="B55" s="104"/>
      <c r="C55" s="50"/>
      <c r="D55" s="50"/>
      <c r="E55" s="50"/>
      <c r="F55" s="50"/>
      <c r="G55" s="98"/>
      <c r="H55" s="50"/>
      <c r="I55" s="98"/>
      <c r="J55" s="50"/>
      <c r="K55" s="50"/>
      <c r="L55" s="50"/>
      <c r="M55" s="2"/>
    </row>
    <row r="56" spans="1:15" x14ac:dyDescent="0.2">
      <c r="A56" s="12" t="s">
        <v>260</v>
      </c>
      <c r="C56"/>
      <c r="D56" s="20">
        <f>(D53-D49)/D53</f>
        <v>2.0809175318269049E-2</v>
      </c>
      <c r="E56" s="20">
        <f>LOGEST($C$14:$C$53,$N$14:$N$53,TRUE,TRUE)-1</f>
        <v>2.3127444022463362E-2</v>
      </c>
      <c r="F56" s="20">
        <f>(F53-F49)/F53</f>
        <v>3.3228024364664467E-2</v>
      </c>
      <c r="G56" s="20">
        <f>LOGEST($C$34:$C$53,$N$34:$N$53,TRUE,TRUE)-1</f>
        <v>3.6023633300960922E-2</v>
      </c>
      <c r="H56" s="20">
        <f>(H53-H49)/H53</f>
        <v>3.6779894356037034E-2</v>
      </c>
      <c r="I56" s="20">
        <f>LOGEST($C$38:$C$53,$N$38:$N$53,TRUE,TRUE)-1</f>
        <v>3.9279255182879336E-2</v>
      </c>
      <c r="J56" s="20">
        <f>(J53-J49)/J53</f>
        <v>4.7074627013364879E-2</v>
      </c>
      <c r="K56" s="20">
        <f>LOGEST($C$42:$C$53,$N$42:$N$53,TRUE,TRUE)-1</f>
        <v>5.0119432431447564E-2</v>
      </c>
      <c r="L56" s="20"/>
      <c r="M56" s="2"/>
    </row>
    <row r="57" spans="1:15" x14ac:dyDescent="0.2">
      <c r="A57" s="117" t="s">
        <v>261</v>
      </c>
      <c r="B57" s="109"/>
      <c r="C57" s="100"/>
      <c r="D57" s="101">
        <f>INDEX(LINEST($C$14:$C$53,$N$14:$N$53,TRUE,TRUE),3,1)</f>
        <v>0.86208029490248816</v>
      </c>
      <c r="E57" s="101">
        <f>INDEX(LOGEST($C$14:$C$53,$N$14:$N$53,TRUE,TRUE),3,1)</f>
        <v>0.88868215682888907</v>
      </c>
      <c r="F57" s="101">
        <f>INDEX(LINEST($C$34:$C$53,$N$34:$N$53,TRUE,TRUE),3,1)</f>
        <v>0.78597984903510421</v>
      </c>
      <c r="G57" s="101">
        <f>INDEX(LOGEST($C$34:$C$53,$N$34:$N$53,TRUE,TRUE),3,1)</f>
        <v>0.81187216910758675</v>
      </c>
      <c r="H57" s="101">
        <f>INDEX(LINEST($C$38:$C$53,$N$38:$N$53,TRUE,TRUE),3,1)</f>
        <v>0.70986265140595539</v>
      </c>
      <c r="I57" s="101">
        <f>INDEX(LOGEST($C$38:$C$53,$N$38:$N$53,TRUE,TRUE),3,1)</f>
        <v>0.73080178510339022</v>
      </c>
      <c r="J57" s="101">
        <f>INDEX(LINEST($C$42:$C$53,$N$42:$N$53,TRUE,TRUE),3,1)</f>
        <v>0.67104190163776045</v>
      </c>
      <c r="K57" s="101">
        <f>INDEX(LOGEST($C$42:$C$53,$N$42:$N$53,TRUE,TRUE),3,1)</f>
        <v>0.68321610339032568</v>
      </c>
      <c r="L57" s="101"/>
      <c r="M57" s="2"/>
      <c r="O57" s="239"/>
    </row>
    <row r="58" spans="1:15" ht="10.5" thickBo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50"/>
      <c r="M58" s="2"/>
    </row>
    <row r="59" spans="1:15" ht="10.5" thickTop="1" x14ac:dyDescent="0.2">
      <c r="A59"/>
      <c r="B59"/>
      <c r="C59"/>
      <c r="D59"/>
      <c r="E59"/>
      <c r="F59"/>
      <c r="G59" s="50"/>
      <c r="H59"/>
      <c r="I59" s="50"/>
      <c r="J59"/>
      <c r="K59" s="50"/>
      <c r="L59" s="50"/>
      <c r="M59" s="2"/>
    </row>
    <row r="60" spans="1:15" x14ac:dyDescent="0.2">
      <c r="A60" t="s">
        <v>17</v>
      </c>
      <c r="B60"/>
      <c r="F60"/>
      <c r="G60"/>
      <c r="H60"/>
      <c r="I60"/>
      <c r="J60"/>
      <c r="K60"/>
      <c r="L60"/>
      <c r="M60" s="2"/>
    </row>
    <row r="61" spans="1:15" x14ac:dyDescent="0.2">
      <c r="A61"/>
      <c r="B61" s="22" t="str">
        <f>C12&amp;" = Average Index for Austin, Corpus Christi, Dallas, El Paso, Fort Worth, Houston, Odessa, and San Antonio"</f>
        <v>(2) = Average Index for Austin, Corpus Christi, Dallas, El Paso, Fort Worth, Houston, Odessa, and San Antonio</v>
      </c>
      <c r="C61"/>
      <c r="D61"/>
      <c r="E61"/>
      <c r="F61"/>
      <c r="H61"/>
      <c r="J61"/>
      <c r="K61"/>
      <c r="L61"/>
      <c r="M61" s="2"/>
    </row>
    <row r="62" spans="1:15" ht="10.5" thickBot="1" x14ac:dyDescent="0.25">
      <c r="A62" s="98"/>
      <c r="B62" s="22" t="str">
        <f>D12&amp;" - "&amp;K12&amp;" = "&amp;C12&amp;" fitted to linear and exponential distributions"</f>
        <v>(3) - (10) = (2) fitted to linear and exponential distributions</v>
      </c>
      <c r="C62" s="98"/>
      <c r="D62" s="98"/>
      <c r="E62" s="98"/>
      <c r="F62" s="98"/>
      <c r="G62" s="98"/>
      <c r="H62" s="98"/>
      <c r="I62" s="98"/>
      <c r="J62" s="98"/>
      <c r="K62"/>
      <c r="L62"/>
      <c r="M62" s="2"/>
    </row>
    <row r="63" spans="1:15" ht="10.5" thickBot="1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19">
    <tabColor rgb="FF92D050"/>
  </sheetPr>
  <dimension ref="A1:R69"/>
  <sheetViews>
    <sheetView showGridLines="0" topLeftCell="A52" workbookViewId="0">
      <selection activeCell="J12" sqref="J12"/>
    </sheetView>
  </sheetViews>
  <sheetFormatPr defaultColWidth="11.33203125" defaultRowHeight="10" x14ac:dyDescent="0.2"/>
  <cols>
    <col min="1" max="1" width="3.44140625" style="12" customWidth="1"/>
    <col min="2" max="2" width="10.6640625" style="12" customWidth="1"/>
    <col min="3" max="11" width="11.44140625" style="12" customWidth="1"/>
    <col min="12" max="12" width="3.44140625" style="12" customWidth="1"/>
    <col min="13" max="16384" width="11.33203125" style="12"/>
  </cols>
  <sheetData>
    <row r="1" spans="1:18" ht="10.5" x14ac:dyDescent="0.25">
      <c r="A1" s="8" t="str">
        <f>'1'!$A$1</f>
        <v>Texas Windstorm Insurance Association</v>
      </c>
      <c r="C1"/>
      <c r="D1"/>
      <c r="E1"/>
      <c r="F1"/>
      <c r="G1"/>
      <c r="H1"/>
      <c r="I1"/>
      <c r="J1"/>
      <c r="L1" s="7" t="s">
        <v>67</v>
      </c>
      <c r="M1" s="1"/>
      <c r="Q1" s="186" t="s">
        <v>428</v>
      </c>
      <c r="R1" s="12" t="s">
        <v>429</v>
      </c>
    </row>
    <row r="2" spans="1:18" ht="10.5" x14ac:dyDescent="0.25">
      <c r="A2" s="8" t="str">
        <f>'1'!$A$2</f>
        <v>Residential Property - Wind &amp; Hail</v>
      </c>
      <c r="C2"/>
      <c r="D2"/>
      <c r="E2"/>
      <c r="F2"/>
      <c r="G2"/>
      <c r="H2"/>
      <c r="I2"/>
      <c r="J2"/>
      <c r="L2" s="7" t="s">
        <v>58</v>
      </c>
      <c r="M2" s="2"/>
    </row>
    <row r="3" spans="1:18" ht="10.5" x14ac:dyDescent="0.25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8" x14ac:dyDescent="0.2">
      <c r="A4" s="105" t="s">
        <v>236</v>
      </c>
      <c r="C4"/>
      <c r="D4"/>
      <c r="E4"/>
      <c r="F4"/>
      <c r="G4"/>
      <c r="H4"/>
      <c r="I4"/>
      <c r="J4"/>
      <c r="K4"/>
      <c r="L4"/>
      <c r="M4" s="2"/>
    </row>
    <row r="5" spans="1:18" x14ac:dyDescent="0.2">
      <c r="A5" s="105" t="s">
        <v>262</v>
      </c>
      <c r="C5"/>
      <c r="D5"/>
      <c r="E5"/>
      <c r="F5"/>
      <c r="G5"/>
      <c r="H5"/>
      <c r="I5"/>
      <c r="J5"/>
      <c r="K5"/>
      <c r="L5"/>
      <c r="M5" s="2"/>
    </row>
    <row r="6" spans="1:18" x14ac:dyDescent="0.2">
      <c r="B6"/>
      <c r="C6"/>
      <c r="D6"/>
      <c r="E6"/>
      <c r="F6"/>
      <c r="G6"/>
      <c r="H6"/>
      <c r="I6"/>
      <c r="J6"/>
      <c r="K6"/>
      <c r="L6"/>
      <c r="M6" s="2"/>
    </row>
    <row r="7" spans="1:18" ht="10.5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50"/>
      <c r="M7" s="2"/>
    </row>
    <row r="8" spans="1:18" ht="10.5" thickTop="1" x14ac:dyDescent="0.2">
      <c r="A8"/>
      <c r="B8"/>
      <c r="C8"/>
      <c r="D8"/>
      <c r="E8"/>
      <c r="F8"/>
      <c r="G8" s="50"/>
      <c r="H8"/>
      <c r="I8" s="50"/>
      <c r="J8" s="50"/>
      <c r="K8" s="50"/>
      <c r="L8" s="50"/>
      <c r="M8" s="2"/>
      <c r="N8" t="s">
        <v>238</v>
      </c>
    </row>
    <row r="9" spans="1:18" x14ac:dyDescent="0.2">
      <c r="A9"/>
      <c r="B9"/>
      <c r="C9" s="22" t="s">
        <v>252</v>
      </c>
      <c r="D9" s="10" t="s">
        <v>253</v>
      </c>
      <c r="E9"/>
      <c r="F9"/>
      <c r="G9"/>
      <c r="H9"/>
      <c r="I9"/>
      <c r="J9"/>
      <c r="K9"/>
      <c r="L9"/>
      <c r="M9" s="2"/>
      <c r="N9" s="84">
        <f>'3.3b'!$N$9</f>
        <v>44561</v>
      </c>
    </row>
    <row r="10" spans="1:18" x14ac:dyDescent="0.2">
      <c r="A10" t="s">
        <v>239</v>
      </c>
      <c r="B10"/>
      <c r="C10" t="s">
        <v>241</v>
      </c>
      <c r="D10" t="s">
        <v>254</v>
      </c>
      <c r="E10"/>
      <c r="F10" t="s">
        <v>255</v>
      </c>
      <c r="G10"/>
      <c r="H10" t="s">
        <v>256</v>
      </c>
      <c r="I10"/>
      <c r="J10" t="s">
        <v>257</v>
      </c>
      <c r="K10"/>
      <c r="L10"/>
      <c r="M10" s="2"/>
    </row>
    <row r="11" spans="1:18" x14ac:dyDescent="0.2">
      <c r="A11" s="9" t="s">
        <v>34</v>
      </c>
      <c r="B11" s="9"/>
      <c r="C11" s="9" t="s">
        <v>235</v>
      </c>
      <c r="D11" s="9" t="s">
        <v>258</v>
      </c>
      <c r="E11" s="9" t="s">
        <v>259</v>
      </c>
      <c r="F11" s="9" t="s">
        <v>258</v>
      </c>
      <c r="G11" s="9" t="s">
        <v>259</v>
      </c>
      <c r="H11" s="9" t="s">
        <v>258</v>
      </c>
      <c r="I11" s="9" t="s">
        <v>259</v>
      </c>
      <c r="J11" s="9" t="s">
        <v>258</v>
      </c>
      <c r="K11" s="9" t="s">
        <v>259</v>
      </c>
      <c r="L11" s="50"/>
      <c r="M11" s="2"/>
      <c r="N11" s="9" t="s">
        <v>235</v>
      </c>
    </row>
    <row r="12" spans="1:18" x14ac:dyDescent="0.2">
      <c r="A12" s="13" t="str">
        <f>TEXT(COLUMN(),"(#)")</f>
        <v>(1)</v>
      </c>
      <c r="B12" s="13"/>
      <c r="C12" s="11" t="str">
        <f t="shared" ref="C12:K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/>
      <c r="M12" s="2"/>
    </row>
    <row r="13" spans="1:18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8" x14ac:dyDescent="0.2">
      <c r="A14" s="12" t="str">
        <f t="shared" ref="A14:A52" si="1">TEXT(DATE(YEAR(A15+1),MONTH(A15+1)-3,1)-1,"m/d/yyyy")</f>
        <v>3/31/2012</v>
      </c>
      <c r="B14" s="25"/>
      <c r="C14" s="330">
        <f>'[3]Boeckh (R)'!E62</f>
        <v>2089.9624981398811</v>
      </c>
      <c r="D14" s="114">
        <f>TREND($C$14:$C$53,$N$14:$N$53,$N14,TRUE)</f>
        <v>2089.0023218680435</v>
      </c>
      <c r="E14" s="114">
        <f>GROWTH($C$14:$C$53,$N$14:$N$53,$N14,TRUE)</f>
        <v>2102.183138895386</v>
      </c>
      <c r="F14" s="114"/>
      <c r="G14" s="114"/>
      <c r="H14" s="36"/>
      <c r="I14"/>
      <c r="J14" s="36"/>
      <c r="K14"/>
      <c r="L14"/>
      <c r="M14" s="2"/>
      <c r="N14" s="12">
        <f t="shared" ref="N14:N53" si="2">YEAR(A14)+MONTH(A14)/12</f>
        <v>2012.25</v>
      </c>
    </row>
    <row r="15" spans="1:18" x14ac:dyDescent="0.2">
      <c r="A15" s="12" t="str">
        <f t="shared" si="1"/>
        <v>6/30/2012</v>
      </c>
      <c r="B15" s="25"/>
      <c r="C15" s="330">
        <f>'[3]Boeckh (R)'!E63</f>
        <v>2099.3336831249999</v>
      </c>
      <c r="D15" s="114">
        <f>TREND($C$14:$C$53,$N$14:$N$53,$N15,TRUE)</f>
        <v>2103.4769244906201</v>
      </c>
      <c r="E15" s="114">
        <f>GROWTH($C$14:$C$53,$N$14:$N$53,$N15,TRUE)</f>
        <v>2114.9096041799567</v>
      </c>
      <c r="F15" s="114"/>
      <c r="G15" s="114"/>
      <c r="H15" s="36"/>
      <c r="I15"/>
      <c r="J15" s="36"/>
      <c r="K15"/>
      <c r="L15"/>
      <c r="M15" s="2"/>
      <c r="N15" s="12">
        <f t="shared" si="2"/>
        <v>2012.5</v>
      </c>
    </row>
    <row r="16" spans="1:18" x14ac:dyDescent="0.2">
      <c r="A16" s="12" t="str">
        <f t="shared" si="1"/>
        <v>9/30/2012</v>
      </c>
      <c r="B16" s="25"/>
      <c r="C16" s="330">
        <f>'[3]Boeckh (R)'!E64</f>
        <v>2118.8191253125001</v>
      </c>
      <c r="D16" s="114">
        <f>TREND($C$14:$C$53,$N$14:$N$53,$N16,TRUE)</f>
        <v>2117.9515271131822</v>
      </c>
      <c r="E16" s="114">
        <f>GROWTH($C$14:$C$53,$N$14:$N$53,$N16,TRUE)</f>
        <v>2127.713114568548</v>
      </c>
      <c r="F16" s="114"/>
      <c r="G16" s="114"/>
      <c r="H16" s="36"/>
      <c r="I16"/>
      <c r="J16" s="36"/>
      <c r="K16"/>
      <c r="L16"/>
      <c r="M16" s="2"/>
      <c r="N16" s="12">
        <f t="shared" si="2"/>
        <v>2012.75</v>
      </c>
    </row>
    <row r="17" spans="1:14" x14ac:dyDescent="0.2">
      <c r="A17" s="12" t="str">
        <f t="shared" si="1"/>
        <v>12/31/2012</v>
      </c>
      <c r="B17" s="25"/>
      <c r="C17" s="330">
        <f>'[3]Boeckh (R)'!E65</f>
        <v>2139.8777234375002</v>
      </c>
      <c r="D17" s="114">
        <f>TREND($C$14:$C$53,$N$14:$N$53,$N17,TRUE)</f>
        <v>2132.4261297357589</v>
      </c>
      <c r="E17" s="114">
        <f>GROWTH($C$14:$C$53,$N$14:$N$53,$N17,TRUE)</f>
        <v>2140.5941364867008</v>
      </c>
      <c r="F17" s="114"/>
      <c r="G17" s="114"/>
      <c r="H17" s="36"/>
      <c r="I17"/>
      <c r="J17" s="36"/>
      <c r="K17"/>
      <c r="L17"/>
      <c r="M17" s="2"/>
      <c r="N17" s="12">
        <f t="shared" si="2"/>
        <v>2013</v>
      </c>
    </row>
    <row r="18" spans="1:14" x14ac:dyDescent="0.2">
      <c r="A18" s="12" t="str">
        <f t="shared" si="1"/>
        <v>3/31/2013</v>
      </c>
      <c r="B18" s="25"/>
      <c r="C18" s="330">
        <f>'[3]Boeckh (R)'!E66</f>
        <v>2157.7392184374999</v>
      </c>
      <c r="D18" s="114">
        <f>TREND($C$14:$C$53,$N$14:$N$53,$N18,TRUE)</f>
        <v>2146.9007323583355</v>
      </c>
      <c r="E18" s="114">
        <f t="shared" ref="E18:E53" si="3">GROWTH($C$14:$C$53,$N$14:$N$53,$N18,TRUE)</f>
        <v>2153.5531391836153</v>
      </c>
      <c r="F18" s="114"/>
      <c r="G18" s="114"/>
      <c r="H18" s="36"/>
      <c r="I18"/>
      <c r="J18" s="36"/>
      <c r="K18"/>
      <c r="L18"/>
      <c r="M18" s="2"/>
      <c r="N18" s="12">
        <f t="shared" si="2"/>
        <v>2013.25</v>
      </c>
    </row>
    <row r="19" spans="1:14" x14ac:dyDescent="0.2">
      <c r="A19" s="12" t="str">
        <f t="shared" si="1"/>
        <v>6/30/2013</v>
      </c>
      <c r="B19" s="25"/>
      <c r="C19" s="330">
        <f>'[3]Boeckh (R)'!E67</f>
        <v>2175.6324212500003</v>
      </c>
      <c r="D19" s="114">
        <f t="shared" ref="D19:D53" si="4">TREND($C$14:$C$53,$N$14:$N$53,$N19,TRUE)</f>
        <v>2161.3753349808976</v>
      </c>
      <c r="E19" s="114">
        <f t="shared" si="3"/>
        <v>2166.5905947492929</v>
      </c>
      <c r="F19" s="114"/>
      <c r="G19" s="114"/>
      <c r="H19" s="36"/>
      <c r="I19"/>
      <c r="J19" s="36"/>
      <c r="K19"/>
      <c r="L19"/>
      <c r="M19" s="2"/>
      <c r="N19" s="12">
        <f t="shared" si="2"/>
        <v>2013.5</v>
      </c>
    </row>
    <row r="20" spans="1:14" x14ac:dyDescent="0.2">
      <c r="A20" s="12" t="str">
        <f t="shared" si="1"/>
        <v>9/30/2013</v>
      </c>
      <c r="B20" s="25"/>
      <c r="C20" s="330">
        <f>'[3]Boeckh (R)'!E68</f>
        <v>2189.6208656250001</v>
      </c>
      <c r="D20" s="114">
        <f t="shared" si="4"/>
        <v>2175.8499376034742</v>
      </c>
      <c r="E20" s="114">
        <f t="shared" si="3"/>
        <v>2179.7069781317809</v>
      </c>
      <c r="F20" s="114"/>
      <c r="G20" s="114"/>
      <c r="H20" s="36"/>
      <c r="I20"/>
      <c r="J20" s="36"/>
      <c r="K20"/>
      <c r="L20"/>
      <c r="M20" s="2"/>
      <c r="N20" s="12">
        <f t="shared" si="2"/>
        <v>2013.75</v>
      </c>
    </row>
    <row r="21" spans="1:14" x14ac:dyDescent="0.2">
      <c r="A21" s="12" t="str">
        <f t="shared" si="1"/>
        <v>12/31/2013</v>
      </c>
      <c r="B21" s="25"/>
      <c r="C21" s="330">
        <f>'[3]Boeckh (R)'!E69</f>
        <v>2203.3705943750001</v>
      </c>
      <c r="D21" s="114">
        <f t="shared" si="4"/>
        <v>2190.3245402260509</v>
      </c>
      <c r="E21" s="114">
        <f t="shared" si="3"/>
        <v>2192.9027671543654</v>
      </c>
      <c r="F21" s="114"/>
      <c r="G21" s="114"/>
      <c r="H21" s="36"/>
      <c r="I21"/>
      <c r="J21" s="36"/>
      <c r="K21"/>
      <c r="L21"/>
      <c r="M21" s="2"/>
      <c r="N21" s="12">
        <f t="shared" si="2"/>
        <v>2014</v>
      </c>
    </row>
    <row r="22" spans="1:14" x14ac:dyDescent="0.2">
      <c r="A22" s="12" t="str">
        <f t="shared" si="1"/>
        <v>3/31/2014</v>
      </c>
      <c r="B22" s="25"/>
      <c r="C22" s="330">
        <f>'[3]Boeckh (R)'!E70</f>
        <v>2227.7073512500001</v>
      </c>
      <c r="D22" s="114">
        <f t="shared" si="4"/>
        <v>2204.799142848613</v>
      </c>
      <c r="E22" s="114">
        <f t="shared" si="3"/>
        <v>2206.178442533102</v>
      </c>
      <c r="F22" s="114"/>
      <c r="G22" s="114"/>
      <c r="H22" s="36"/>
      <c r="I22"/>
      <c r="J22" s="36"/>
      <c r="K22"/>
      <c r="L22"/>
      <c r="M22" s="2"/>
      <c r="N22" s="12">
        <f t="shared" si="2"/>
        <v>2014.25</v>
      </c>
    </row>
    <row r="23" spans="1:14" x14ac:dyDescent="0.2">
      <c r="A23" s="12" t="str">
        <f t="shared" si="1"/>
        <v>6/30/2014</v>
      </c>
      <c r="B23" s="51"/>
      <c r="C23" s="330">
        <f>'[3]Boeckh (R)'!E71</f>
        <v>2252.6328937500002</v>
      </c>
      <c r="D23" s="114">
        <f t="shared" si="4"/>
        <v>2219.2737454711896</v>
      </c>
      <c r="E23" s="114">
        <f t="shared" si="3"/>
        <v>2219.5344878942205</v>
      </c>
      <c r="F23" s="114"/>
      <c r="G23" s="114"/>
      <c r="H23" s="36"/>
      <c r="I23"/>
      <c r="J23" s="36"/>
      <c r="K23"/>
      <c r="L23"/>
      <c r="M23" s="2"/>
      <c r="N23" s="12">
        <f t="shared" si="2"/>
        <v>2014.5</v>
      </c>
    </row>
    <row r="24" spans="1:14" x14ac:dyDescent="0.2">
      <c r="A24" s="12" t="str">
        <f t="shared" si="1"/>
        <v>9/30/2014</v>
      </c>
      <c r="B24"/>
      <c r="C24" s="330">
        <f>'[3]Boeckh (R)'!E72</f>
        <v>2274.9976849999998</v>
      </c>
      <c r="D24" s="114">
        <f t="shared" si="4"/>
        <v>2233.7483480937517</v>
      </c>
      <c r="E24" s="114">
        <f t="shared" si="3"/>
        <v>2232.9713897917891</v>
      </c>
      <c r="F24" s="114"/>
      <c r="G24" s="114"/>
      <c r="H24"/>
      <c r="I24"/>
      <c r="J24"/>
      <c r="K24"/>
      <c r="L24"/>
      <c r="M24" s="2"/>
      <c r="N24" s="12">
        <f t="shared" si="2"/>
        <v>2014.75</v>
      </c>
    </row>
    <row r="25" spans="1:14" x14ac:dyDescent="0.2">
      <c r="A25" s="12" t="str">
        <f t="shared" si="1"/>
        <v>12/31/2014</v>
      </c>
      <c r="B25"/>
      <c r="C25" s="330">
        <f>'[3]Boeckh (R)'!E73</f>
        <v>2296.7677665625006</v>
      </c>
      <c r="D25" s="114">
        <f t="shared" si="4"/>
        <v>2248.2229507163283</v>
      </c>
      <c r="E25" s="114">
        <f t="shared" si="3"/>
        <v>2246.4896377254854</v>
      </c>
      <c r="F25" s="114"/>
      <c r="G25" s="114"/>
      <c r="H25"/>
      <c r="I25"/>
      <c r="J25"/>
      <c r="K25"/>
      <c r="L25"/>
      <c r="M25" s="2"/>
      <c r="N25" s="12">
        <f t="shared" si="2"/>
        <v>2015</v>
      </c>
    </row>
    <row r="26" spans="1:14" x14ac:dyDescent="0.2">
      <c r="A26" s="12" t="str">
        <f t="shared" si="1"/>
        <v>3/31/2015</v>
      </c>
      <c r="B26"/>
      <c r="C26" s="330">
        <f>'[3]Boeckh (R)'!E74</f>
        <v>2310.575920625</v>
      </c>
      <c r="D26" s="114">
        <f t="shared" si="4"/>
        <v>2262.697553338905</v>
      </c>
      <c r="E26" s="114">
        <f t="shared" si="3"/>
        <v>2260.089724158337</v>
      </c>
      <c r="F26" s="114"/>
      <c r="G26" s="114"/>
      <c r="H26"/>
      <c r="I26"/>
      <c r="J26"/>
      <c r="K26"/>
      <c r="L26"/>
      <c r="M26" s="2"/>
      <c r="N26" s="12">
        <f t="shared" si="2"/>
        <v>2015.25</v>
      </c>
    </row>
    <row r="27" spans="1:14" x14ac:dyDescent="0.2">
      <c r="A27" s="12" t="str">
        <f t="shared" si="1"/>
        <v>6/30/2015</v>
      </c>
      <c r="B27"/>
      <c r="C27" s="330">
        <f>'[3]Boeckh (R)'!E75</f>
        <v>2322.5219765625002</v>
      </c>
      <c r="D27" s="114">
        <f t="shared" si="4"/>
        <v>2277.1721559614671</v>
      </c>
      <c r="E27" s="114">
        <f t="shared" si="3"/>
        <v>2273.7721445347065</v>
      </c>
      <c r="F27" s="114"/>
      <c r="G27" s="114"/>
      <c r="H27"/>
      <c r="I27"/>
      <c r="J27"/>
      <c r="K27"/>
      <c r="L27"/>
      <c r="M27" s="2"/>
      <c r="N27" s="12">
        <f t="shared" si="2"/>
        <v>2015.5</v>
      </c>
    </row>
    <row r="28" spans="1:14" x14ac:dyDescent="0.2">
      <c r="A28" s="12" t="str">
        <f t="shared" si="1"/>
        <v>9/30/2015</v>
      </c>
      <c r="B28"/>
      <c r="C28" s="330">
        <f>'[3]Boeckh (R)'!E76</f>
        <v>2330.3812862499999</v>
      </c>
      <c r="D28" s="114">
        <f t="shared" si="4"/>
        <v>2291.6467585840437</v>
      </c>
      <c r="E28" s="114">
        <f t="shared" si="3"/>
        <v>2287.537397298388</v>
      </c>
      <c r="F28" s="114"/>
      <c r="G28" s="114"/>
      <c r="H28"/>
      <c r="I28"/>
      <c r="J28"/>
      <c r="K28"/>
      <c r="L28"/>
      <c r="M28" s="2"/>
      <c r="N28" s="12">
        <f t="shared" si="2"/>
        <v>2015.75</v>
      </c>
    </row>
    <row r="29" spans="1:14" x14ac:dyDescent="0.2">
      <c r="A29" s="12" t="str">
        <f t="shared" si="1"/>
        <v>12/31/2015</v>
      </c>
      <c r="B29"/>
      <c r="C29" s="330">
        <f>'[3]Boeckh (R)'!E77</f>
        <v>2333.2555071874999</v>
      </c>
      <c r="D29" s="114">
        <f>TREND($C$14:$C$53,$N$14:$N$53,$N29,TRUE)</f>
        <v>2306.1213612066058</v>
      </c>
      <c r="E29" s="114">
        <f t="shared" si="3"/>
        <v>2301.3859839106717</v>
      </c>
      <c r="F29" s="114"/>
      <c r="G29" s="114"/>
      <c r="H29"/>
      <c r="I29"/>
      <c r="J29"/>
      <c r="K29"/>
      <c r="L29"/>
      <c r="M29" s="2"/>
      <c r="N29" s="12">
        <f t="shared" si="2"/>
        <v>2016</v>
      </c>
    </row>
    <row r="30" spans="1:14" x14ac:dyDescent="0.2">
      <c r="A30" s="12" t="str">
        <f t="shared" si="1"/>
        <v>3/31/2016</v>
      </c>
      <c r="B30"/>
      <c r="C30" s="330">
        <f>'[3]Boeckh (R)'!E78</f>
        <v>2328.6463168749997</v>
      </c>
      <c r="D30" s="114">
        <f t="shared" si="4"/>
        <v>2320.5959638291824</v>
      </c>
      <c r="E30" s="114">
        <f t="shared" si="3"/>
        <v>2315.3184088686567</v>
      </c>
      <c r="F30" s="114"/>
      <c r="G30" s="114"/>
      <c r="H30"/>
      <c r="I30"/>
      <c r="J30"/>
      <c r="K30"/>
      <c r="L30"/>
      <c r="M30" s="2"/>
      <c r="N30" s="12">
        <f t="shared" si="2"/>
        <v>2016.25</v>
      </c>
    </row>
    <row r="31" spans="1:14" x14ac:dyDescent="0.2">
      <c r="A31" s="12" t="str">
        <f t="shared" si="1"/>
        <v>6/30/2016</v>
      </c>
      <c r="B31" s="109"/>
      <c r="C31" s="330">
        <f>'[3]Boeckh (R)'!E79</f>
        <v>2320.7975212499996</v>
      </c>
      <c r="D31" s="114">
        <f t="shared" si="4"/>
        <v>2335.0705664517591</v>
      </c>
      <c r="E31" s="114">
        <f t="shared" si="3"/>
        <v>2329.3351797236819</v>
      </c>
      <c r="F31" s="114"/>
      <c r="G31" s="114"/>
      <c r="H31" s="29"/>
      <c r="I31" s="102"/>
      <c r="J31" s="29"/>
      <c r="K31" s="102"/>
      <c r="L31" s="102"/>
      <c r="M31" s="2"/>
      <c r="N31" s="12">
        <f t="shared" si="2"/>
        <v>2016.5</v>
      </c>
    </row>
    <row r="32" spans="1:14" x14ac:dyDescent="0.2">
      <c r="A32" s="12" t="str">
        <f t="shared" si="1"/>
        <v>9/30/2016</v>
      </c>
      <c r="B32" s="109"/>
      <c r="C32" s="330">
        <f>'[3]Boeckh (R)'!E80</f>
        <v>2313.59063625</v>
      </c>
      <c r="D32" s="114">
        <f t="shared" si="4"/>
        <v>2349.5451690743212</v>
      </c>
      <c r="E32" s="114">
        <f t="shared" si="3"/>
        <v>2343.4368070996984</v>
      </c>
      <c r="F32" s="114"/>
      <c r="G32" s="114"/>
      <c r="H32" s="29"/>
      <c r="I32" s="102"/>
      <c r="J32" s="29"/>
      <c r="K32" s="102"/>
      <c r="L32" s="102"/>
      <c r="M32" s="2"/>
      <c r="N32" s="12">
        <f t="shared" si="2"/>
        <v>2016.75</v>
      </c>
    </row>
    <row r="33" spans="1:14" x14ac:dyDescent="0.2">
      <c r="A33" s="12" t="str">
        <f t="shared" si="1"/>
        <v>12/31/2016</v>
      </c>
      <c r="B33" s="51"/>
      <c r="C33" s="330">
        <f>'[3]Boeckh (R)'!E81</f>
        <v>2308.1697937499998</v>
      </c>
      <c r="D33" s="114">
        <f t="shared" si="4"/>
        <v>2364.0197716968978</v>
      </c>
      <c r="E33" s="114">
        <f t="shared" si="3"/>
        <v>2357.6238047120046</v>
      </c>
      <c r="F33" s="114"/>
      <c r="G33" s="114"/>
      <c r="H33" s="29"/>
      <c r="I33" s="102"/>
      <c r="J33" s="29"/>
      <c r="K33" s="102"/>
      <c r="L33" s="102"/>
      <c r="M33" s="2"/>
      <c r="N33" s="12">
        <f t="shared" si="2"/>
        <v>2017</v>
      </c>
    </row>
    <row r="34" spans="1:14" x14ac:dyDescent="0.2">
      <c r="A34" s="12" t="str">
        <f t="shared" si="1"/>
        <v>3/31/2017</v>
      </c>
      <c r="B34" s="51"/>
      <c r="C34" s="330">
        <f>'[3]Boeckh (R)'!E82</f>
        <v>2311.2435409374998</v>
      </c>
      <c r="D34" s="114">
        <f t="shared" si="4"/>
        <v>2378.4943743194744</v>
      </c>
      <c r="E34" s="114">
        <f t="shared" si="3"/>
        <v>2371.8966893858446</v>
      </c>
      <c r="F34" s="114">
        <f>TREND($C$34:$C$53,$N$34:$N$53,$N34,TRUE)</f>
        <v>2282.94865625893</v>
      </c>
      <c r="G34" s="114">
        <f t="shared" ref="G34:G53" si="5">GROWTH($C$34:$C$53,$N$34:$N$53,$N34,TRUE)</f>
        <v>2291.8758103889813</v>
      </c>
      <c r="H34" s="29"/>
      <c r="I34" s="102"/>
      <c r="J34" s="29"/>
      <c r="K34" s="102"/>
      <c r="L34" s="102"/>
      <c r="M34" s="2"/>
      <c r="N34" s="12">
        <f t="shared" si="2"/>
        <v>2017.25</v>
      </c>
    </row>
    <row r="35" spans="1:14" x14ac:dyDescent="0.2">
      <c r="A35" s="12" t="str">
        <f t="shared" si="1"/>
        <v>6/30/2017</v>
      </c>
      <c r="B35" s="109"/>
      <c r="C35" s="330">
        <f>'[3]Boeckh (R)'!E83</f>
        <v>2323.7941315624998</v>
      </c>
      <c r="D35" s="114">
        <f t="shared" si="4"/>
        <v>2392.9689769420365</v>
      </c>
      <c r="E35" s="114">
        <f t="shared" si="3"/>
        <v>2386.2559810752841</v>
      </c>
      <c r="F35" s="114">
        <f t="shared" ref="F35:F53" si="6">TREND($C$34:$C$53,$N$34:$N$53,$N35,TRUE)</f>
        <v>2306.0902826280508</v>
      </c>
      <c r="G35" s="114">
        <f t="shared" si="5"/>
        <v>2312.7971848956431</v>
      </c>
      <c r="H35" s="36"/>
      <c r="I35" s="102"/>
      <c r="J35" s="36"/>
      <c r="K35" s="102"/>
      <c r="L35" s="102"/>
      <c r="M35" s="2"/>
      <c r="N35" s="12">
        <f t="shared" si="2"/>
        <v>2017.5</v>
      </c>
    </row>
    <row r="36" spans="1:14" x14ac:dyDescent="0.2">
      <c r="A36" s="12" t="str">
        <f t="shared" si="1"/>
        <v>9/30/2017</v>
      </c>
      <c r="B36" s="22"/>
      <c r="C36" s="330">
        <f>'[3]Boeckh (R)'!E84</f>
        <v>2340.8039171874998</v>
      </c>
      <c r="D36" s="114">
        <f t="shared" si="4"/>
        <v>2407.4435795646132</v>
      </c>
      <c r="E36" s="114">
        <f t="shared" si="3"/>
        <v>2400.7022028822062</v>
      </c>
      <c r="F36" s="114">
        <f t="shared" si="6"/>
        <v>2329.2319089972007</v>
      </c>
      <c r="G36" s="114">
        <f t="shared" si="5"/>
        <v>2333.9095400432889</v>
      </c>
      <c r="H36"/>
      <c r="I36"/>
      <c r="J36"/>
      <c r="K36"/>
      <c r="L36"/>
      <c r="M36" s="2"/>
      <c r="N36" s="12">
        <f t="shared" si="2"/>
        <v>2017.75</v>
      </c>
    </row>
    <row r="37" spans="1:14" x14ac:dyDescent="0.2">
      <c r="A37" s="12" t="str">
        <f t="shared" si="1"/>
        <v>12/31/2017</v>
      </c>
      <c r="B37" s="22"/>
      <c r="C37" s="330">
        <f>'[3]Boeckh (R)'!E85</f>
        <v>2360.0865974999997</v>
      </c>
      <c r="D37" s="114">
        <f t="shared" si="4"/>
        <v>2421.9181821871753</v>
      </c>
      <c r="E37" s="114">
        <f t="shared" si="3"/>
        <v>2415.2358810752612</v>
      </c>
      <c r="F37" s="114">
        <f t="shared" si="6"/>
        <v>2352.3735353663214</v>
      </c>
      <c r="G37" s="114">
        <f t="shared" si="5"/>
        <v>2355.2146191975153</v>
      </c>
      <c r="H37"/>
      <c r="J37"/>
      <c r="M37" s="2"/>
      <c r="N37" s="12">
        <f t="shared" si="2"/>
        <v>2018</v>
      </c>
    </row>
    <row r="38" spans="1:14" x14ac:dyDescent="0.2">
      <c r="A38" s="12" t="str">
        <f t="shared" si="1"/>
        <v>3/31/2018</v>
      </c>
      <c r="B38" s="22"/>
      <c r="C38" s="330">
        <f>'[3]Boeckh (R)'!E86</f>
        <v>2380.3326815624996</v>
      </c>
      <c r="D38" s="114">
        <f t="shared" si="4"/>
        <v>2436.3927848097519</v>
      </c>
      <c r="E38" s="114">
        <f t="shared" si="3"/>
        <v>2429.8575451090946</v>
      </c>
      <c r="F38" s="114">
        <f t="shared" si="6"/>
        <v>2375.5151617354422</v>
      </c>
      <c r="G38" s="114">
        <f t="shared" si="5"/>
        <v>2376.7141816382191</v>
      </c>
      <c r="H38" s="114">
        <f>TREND($C$38:$C$53,$N$38:$N$53,$N38,TRUE)</f>
        <v>2356.2854381020006</v>
      </c>
      <c r="I38" s="114">
        <f t="shared" ref="I38:I53" si="7">GROWTH($C$38:$C$53,$N$38:$N$53,$N38,TRUE)</f>
        <v>2363.9738243439547</v>
      </c>
      <c r="J38" s="102"/>
      <c r="K38" s="102"/>
      <c r="L38" s="102"/>
      <c r="M38" s="2"/>
      <c r="N38" s="12">
        <f t="shared" si="2"/>
        <v>2018.25</v>
      </c>
    </row>
    <row r="39" spans="1:14" x14ac:dyDescent="0.2">
      <c r="A39" s="12" t="str">
        <f t="shared" si="1"/>
        <v>6/30/2018</v>
      </c>
      <c r="B39" s="22"/>
      <c r="C39" s="330">
        <f>'[3]Boeckh (R)'!E87</f>
        <v>2404.1550571875</v>
      </c>
      <c r="D39" s="114">
        <f t="shared" si="4"/>
        <v>2450.8673874323285</v>
      </c>
      <c r="E39" s="114">
        <f t="shared" si="3"/>
        <v>2444.5677276436818</v>
      </c>
      <c r="F39" s="114">
        <f t="shared" si="6"/>
        <v>2398.656788104563</v>
      </c>
      <c r="G39" s="114">
        <f t="shared" si="5"/>
        <v>2398.4100027049753</v>
      </c>
      <c r="H39" s="114">
        <f t="shared" ref="H39:H53" si="8">TREND($C$38:$C$53,$N$38:$N$53,$N39,TRUE)</f>
        <v>2381.4469959227717</v>
      </c>
      <c r="I39" s="114">
        <f t="shared" si="7"/>
        <v>2386.9020373779949</v>
      </c>
      <c r="J39" s="102"/>
      <c r="K39" s="102"/>
      <c r="L39" s="102"/>
      <c r="M39" s="2"/>
      <c r="N39" s="12">
        <f t="shared" si="2"/>
        <v>2018.5</v>
      </c>
    </row>
    <row r="40" spans="1:14" x14ac:dyDescent="0.2">
      <c r="A40" s="12" t="str">
        <f t="shared" si="1"/>
        <v>9/30/2018</v>
      </c>
      <c r="B40" s="22"/>
      <c r="C40" s="330">
        <f>'[3]Boeckh (R)'!E88</f>
        <v>2433.3168421874998</v>
      </c>
      <c r="D40" s="114">
        <f>TREND($C$14:$C$53,$N$14:$N$53,$N40,TRUE)</f>
        <v>2465.3419900548906</v>
      </c>
      <c r="E40" s="114">
        <f t="shared" si="3"/>
        <v>2459.3669645636323</v>
      </c>
      <c r="F40" s="114">
        <f t="shared" si="6"/>
        <v>2421.7984144736838</v>
      </c>
      <c r="G40" s="114">
        <f t="shared" si="5"/>
        <v>2420.3038739433991</v>
      </c>
      <c r="H40" s="114">
        <f t="shared" si="8"/>
        <v>2406.6085537435429</v>
      </c>
      <c r="I40" s="114">
        <f t="shared" si="7"/>
        <v>2410.0526314500321</v>
      </c>
      <c r="J40" s="102"/>
      <c r="K40" s="102"/>
      <c r="L40" s="102"/>
      <c r="M40" s="2"/>
      <c r="N40" s="12">
        <f t="shared" si="2"/>
        <v>2018.75</v>
      </c>
    </row>
    <row r="41" spans="1:14" x14ac:dyDescent="0.2">
      <c r="A41" s="12" t="str">
        <f t="shared" si="1"/>
        <v>12/31/2018</v>
      </c>
      <c r="B41" s="22"/>
      <c r="C41" s="330">
        <f>'[3]Boeckh (R)'!E89</f>
        <v>2467.6029853125001</v>
      </c>
      <c r="D41" s="114">
        <f t="shared" si="4"/>
        <v>2479.8165926774673</v>
      </c>
      <c r="E41" s="114">
        <f t="shared" si="3"/>
        <v>2474.2557949977631</v>
      </c>
      <c r="F41" s="114">
        <f t="shared" si="6"/>
        <v>2444.9400408428046</v>
      </c>
      <c r="G41" s="114">
        <f t="shared" si="5"/>
        <v>2442.3976032533569</v>
      </c>
      <c r="H41" s="114">
        <f t="shared" si="8"/>
        <v>2431.770111564314</v>
      </c>
      <c r="I41" s="114">
        <f t="shared" si="7"/>
        <v>2433.427763436694</v>
      </c>
      <c r="J41" s="50"/>
      <c r="K41" s="58"/>
      <c r="L41" s="58"/>
      <c r="M41" s="2"/>
      <c r="N41" s="12">
        <f t="shared" si="2"/>
        <v>2019</v>
      </c>
    </row>
    <row r="42" spans="1:14" x14ac:dyDescent="0.2">
      <c r="A42" s="12" t="str">
        <f t="shared" si="1"/>
        <v>3/31/2019</v>
      </c>
      <c r="C42" s="330">
        <f>'[3]Boeckh (R)'!E90</f>
        <v>2494.1881793749999</v>
      </c>
      <c r="D42" s="114">
        <f t="shared" si="4"/>
        <v>2494.2911953000294</v>
      </c>
      <c r="E42" s="114">
        <f t="shared" si="3"/>
        <v>2489.2347613387892</v>
      </c>
      <c r="F42" s="114">
        <f t="shared" si="6"/>
        <v>2468.0816672119545</v>
      </c>
      <c r="G42" s="114">
        <f t="shared" si="5"/>
        <v>2464.6930150379794</v>
      </c>
      <c r="H42" s="114">
        <f t="shared" si="8"/>
        <v>2456.9316693850851</v>
      </c>
      <c r="I42" s="114">
        <f t="shared" si="7"/>
        <v>2457.0296111341868</v>
      </c>
      <c r="J42" s="114">
        <f>TREND($C$42:$C$53,$N$42:$N$53,$N42,TRUE)</f>
        <v>2414.9508160015976</v>
      </c>
      <c r="K42" s="114">
        <f t="shared" ref="K42:K53" si="9">GROWTH($C$42:$C$53,$N$42:$N$53,$N42,TRUE)</f>
        <v>2422.2174487638804</v>
      </c>
      <c r="L42" s="114"/>
      <c r="M42" s="2"/>
      <c r="N42" s="12">
        <f t="shared" si="2"/>
        <v>2019.25</v>
      </c>
    </row>
    <row r="43" spans="1:14" x14ac:dyDescent="0.2">
      <c r="A43" s="12" t="str">
        <f t="shared" si="1"/>
        <v>6/30/2019</v>
      </c>
      <c r="B43" s="109"/>
      <c r="C43" s="330">
        <f>'[3]Boeckh (R)'!E91</f>
        <v>2508.1578743749997</v>
      </c>
      <c r="D43" s="114">
        <f>TREND($C$14:$C$53,$N$14:$N$53,$N43,TRUE)</f>
        <v>2508.765797922606</v>
      </c>
      <c r="E43" s="114">
        <f t="shared" si="3"/>
        <v>2504.3044092629625</v>
      </c>
      <c r="F43" s="114">
        <f t="shared" si="6"/>
        <v>2491.2232935810753</v>
      </c>
      <c r="G43" s="114">
        <f t="shared" si="5"/>
        <v>2487.1919503545892</v>
      </c>
      <c r="H43" s="114">
        <f t="shared" si="8"/>
        <v>2482.0932272058562</v>
      </c>
      <c r="I43" s="114">
        <f t="shared" si="7"/>
        <v>2480.8603734610838</v>
      </c>
      <c r="J43" s="114">
        <f t="shared" ref="J43:J52" si="10">TREND($C$42:$C$53,$N$42:$N$53,$N43,TRUE)</f>
        <v>2446.0892491812119</v>
      </c>
      <c r="K43" s="114">
        <f t="shared" si="9"/>
        <v>2450.665742435941</v>
      </c>
      <c r="L43" s="114"/>
      <c r="M43" s="2"/>
      <c r="N43" s="12">
        <f t="shared" si="2"/>
        <v>2019.5</v>
      </c>
    </row>
    <row r="44" spans="1:14" x14ac:dyDescent="0.2">
      <c r="A44" s="12" t="str">
        <f t="shared" si="1"/>
        <v>9/30/2019</v>
      </c>
      <c r="C44" s="330">
        <f>'[3]Boeckh (R)'!E92</f>
        <v>2510.4392250000001</v>
      </c>
      <c r="D44" s="114">
        <f t="shared" si="4"/>
        <v>2523.2404005451826</v>
      </c>
      <c r="E44" s="114">
        <f t="shared" si="3"/>
        <v>2519.4652877500903</v>
      </c>
      <c r="F44" s="114">
        <f t="shared" si="6"/>
        <v>2514.3649199501961</v>
      </c>
      <c r="G44" s="114">
        <f t="shared" si="5"/>
        <v>2509.8962670664496</v>
      </c>
      <c r="H44" s="114">
        <f t="shared" si="8"/>
        <v>2507.2547850266274</v>
      </c>
      <c r="I44" s="114">
        <f t="shared" si="7"/>
        <v>2504.92227066344</v>
      </c>
      <c r="J44" s="114">
        <f t="shared" si="10"/>
        <v>2477.2276823608554</v>
      </c>
      <c r="K44" s="114">
        <f t="shared" si="9"/>
        <v>2479.4481536800081</v>
      </c>
      <c r="L44" s="114"/>
      <c r="M44" s="2"/>
      <c r="N44" s="12">
        <f t="shared" si="2"/>
        <v>2019.75</v>
      </c>
    </row>
    <row r="45" spans="1:14" x14ac:dyDescent="0.2">
      <c r="A45" s="12" t="str">
        <f t="shared" si="1"/>
        <v>12/31/2019</v>
      </c>
      <c r="C45" s="330">
        <f>'[3]Boeckh (R)'!E93</f>
        <v>2504.0701937499998</v>
      </c>
      <c r="D45" s="114">
        <f t="shared" si="4"/>
        <v>2537.7150031677447</v>
      </c>
      <c r="E45" s="114">
        <f t="shared" si="3"/>
        <v>2534.7179491034112</v>
      </c>
      <c r="F45" s="114">
        <f t="shared" si="6"/>
        <v>2537.5065463193168</v>
      </c>
      <c r="G45" s="114">
        <f t="shared" si="5"/>
        <v>2532.8078399964597</v>
      </c>
      <c r="H45" s="114">
        <f t="shared" si="8"/>
        <v>2532.4163428473985</v>
      </c>
      <c r="I45" s="114">
        <f t="shared" si="7"/>
        <v>2529.2175445213634</v>
      </c>
      <c r="J45" s="114">
        <f t="shared" si="10"/>
        <v>2508.3661155404989</v>
      </c>
      <c r="K45" s="114">
        <f t="shared" si="9"/>
        <v>2508.568606617268</v>
      </c>
      <c r="L45" s="114"/>
      <c r="M45" s="2"/>
      <c r="N45" s="12">
        <f t="shared" si="2"/>
        <v>2020</v>
      </c>
    </row>
    <row r="46" spans="1:14" x14ac:dyDescent="0.2">
      <c r="A46" s="12" t="str">
        <f t="shared" si="1"/>
        <v>3/31/2020</v>
      </c>
      <c r="C46" s="330">
        <f>'[3]Boeckh (R)'!E94</f>
        <v>2502.4740178124998</v>
      </c>
      <c r="D46" s="114">
        <f t="shared" si="4"/>
        <v>2552.1896057903214</v>
      </c>
      <c r="E46" s="114">
        <f t="shared" si="3"/>
        <v>2550.0629489697667</v>
      </c>
      <c r="F46" s="114">
        <f t="shared" si="6"/>
        <v>2560.6481726884376</v>
      </c>
      <c r="G46" s="114">
        <f t="shared" si="5"/>
        <v>2555.9285610816837</v>
      </c>
      <c r="H46" s="114">
        <f t="shared" si="8"/>
        <v>2557.5779006681696</v>
      </c>
      <c r="I46" s="114">
        <f t="shared" si="7"/>
        <v>2553.7484585581601</v>
      </c>
      <c r="J46" s="114">
        <f t="shared" si="10"/>
        <v>2539.5045487201132</v>
      </c>
      <c r="K46" s="114">
        <f t="shared" si="9"/>
        <v>2538.0310714566572</v>
      </c>
      <c r="L46" s="114"/>
      <c r="M46" s="2"/>
      <c r="N46" s="12">
        <f t="shared" si="2"/>
        <v>2020.25</v>
      </c>
    </row>
    <row r="47" spans="1:14" x14ac:dyDescent="0.2">
      <c r="A47" s="12" t="str">
        <f t="shared" si="1"/>
        <v>6/30/2020</v>
      </c>
      <c r="C47" s="330">
        <f>'[3]Boeckh (R)'!E95</f>
        <v>2502.9244703124996</v>
      </c>
      <c r="D47" s="114">
        <f t="shared" si="4"/>
        <v>2566.664208412898</v>
      </c>
      <c r="E47" s="114">
        <f t="shared" si="3"/>
        <v>2565.5008463598992</v>
      </c>
      <c r="F47" s="114">
        <f t="shared" si="6"/>
        <v>2583.7897990575875</v>
      </c>
      <c r="G47" s="114">
        <f t="shared" si="5"/>
        <v>2579.2603395298675</v>
      </c>
      <c r="H47" s="114">
        <f t="shared" si="8"/>
        <v>2582.7394584889407</v>
      </c>
      <c r="I47" s="114">
        <f t="shared" si="7"/>
        <v>2578.5172982509334</v>
      </c>
      <c r="J47" s="114">
        <f t="shared" si="10"/>
        <v>2570.6429818997567</v>
      </c>
      <c r="K47" s="114">
        <f t="shared" si="9"/>
        <v>2567.8395650361504</v>
      </c>
      <c r="L47" s="114"/>
      <c r="M47" s="2"/>
      <c r="N47" s="12">
        <f t="shared" si="2"/>
        <v>2020.5</v>
      </c>
    </row>
    <row r="48" spans="1:14" x14ac:dyDescent="0.2">
      <c r="A48" s="12" t="str">
        <f t="shared" si="1"/>
        <v>9/30/2020</v>
      </c>
      <c r="B48" s="109"/>
      <c r="C48" s="330">
        <f>'[3]Boeckh (R)'!E96</f>
        <v>2516.5388343749996</v>
      </c>
      <c r="D48" s="114">
        <f t="shared" si="4"/>
        <v>2581.1388110354601</v>
      </c>
      <c r="E48" s="114">
        <f t="shared" si="3"/>
        <v>2581.0322036687066</v>
      </c>
      <c r="F48" s="114">
        <f t="shared" si="6"/>
        <v>2606.9314254267083</v>
      </c>
      <c r="G48" s="114">
        <f t="shared" si="5"/>
        <v>2602.8051019768022</v>
      </c>
      <c r="H48" s="114">
        <f t="shared" si="8"/>
        <v>2607.9010163097118</v>
      </c>
      <c r="I48" s="114">
        <f t="shared" si="7"/>
        <v>2603.526371243805</v>
      </c>
      <c r="J48" s="114">
        <f t="shared" si="10"/>
        <v>2601.7814150794002</v>
      </c>
      <c r="K48" s="114">
        <f t="shared" si="9"/>
        <v>2597.998151370406</v>
      </c>
      <c r="L48" s="114"/>
      <c r="M48" s="2"/>
      <c r="N48" s="12">
        <f t="shared" si="2"/>
        <v>2020.75</v>
      </c>
    </row>
    <row r="49" spans="1:14" x14ac:dyDescent="0.2">
      <c r="A49" s="12" t="str">
        <f t="shared" si="1"/>
        <v>12/31/2020</v>
      </c>
      <c r="C49" s="330">
        <f>'[3]Boeckh (R)'!E97</f>
        <v>2539.1344490624997</v>
      </c>
      <c r="D49" s="114">
        <f t="shared" si="4"/>
        <v>2595.6134136580367</v>
      </c>
      <c r="E49" s="114">
        <f t="shared" si="3"/>
        <v>2596.6575866957864</v>
      </c>
      <c r="F49" s="114">
        <f t="shared" si="6"/>
        <v>2630.0730517958291</v>
      </c>
      <c r="G49" s="114">
        <f t="shared" si="5"/>
        <v>2626.5647926457091</v>
      </c>
      <c r="H49" s="114">
        <f t="shared" si="8"/>
        <v>2633.062574130483</v>
      </c>
      <c r="I49" s="114">
        <f t="shared" si="7"/>
        <v>2628.7780075626201</v>
      </c>
      <c r="J49" s="114">
        <f t="shared" si="10"/>
        <v>2632.9198482590145</v>
      </c>
      <c r="K49" s="114">
        <f t="shared" si="9"/>
        <v>2628.5109422048431</v>
      </c>
      <c r="L49" s="114"/>
      <c r="M49" s="2"/>
      <c r="N49" s="12">
        <f t="shared" si="2"/>
        <v>2021</v>
      </c>
    </row>
    <row r="50" spans="1:14" x14ac:dyDescent="0.2">
      <c r="A50" s="12" t="str">
        <f t="shared" si="1"/>
        <v>3/31/2021</v>
      </c>
      <c r="C50" s="330">
        <f>'[3]Boeckh (R)'!E98</f>
        <v>2571.2624740624997</v>
      </c>
      <c r="D50" s="114">
        <f t="shared" si="4"/>
        <v>2610.0880162805988</v>
      </c>
      <c r="E50" s="114">
        <f t="shared" si="3"/>
        <v>2612.3775646661006</v>
      </c>
      <c r="F50" s="114">
        <f t="shared" si="6"/>
        <v>2653.2146781649499</v>
      </c>
      <c r="G50" s="114">
        <f t="shared" si="5"/>
        <v>2650.5413735074912</v>
      </c>
      <c r="H50" s="114">
        <f t="shared" si="8"/>
        <v>2658.2241319512541</v>
      </c>
      <c r="I50" s="114">
        <f t="shared" si="7"/>
        <v>2654.2745598323236</v>
      </c>
      <c r="J50" s="114">
        <f t="shared" si="10"/>
        <v>2664.058281438658</v>
      </c>
      <c r="K50" s="114">
        <f t="shared" si="9"/>
        <v>2659.3820975762283</v>
      </c>
      <c r="L50" s="114"/>
      <c r="M50" s="2"/>
      <c r="N50" s="12">
        <f t="shared" si="2"/>
        <v>2021.25</v>
      </c>
    </row>
    <row r="51" spans="1:14" x14ac:dyDescent="0.2">
      <c r="A51" s="12" t="str">
        <f t="shared" si="1"/>
        <v>6/30/2021</v>
      </c>
      <c r="C51" s="330">
        <f>'[3]Boeckh (R)'!E99</f>
        <v>2653.598063125</v>
      </c>
      <c r="D51" s="114">
        <f t="shared" si="4"/>
        <v>2624.5626189031755</v>
      </c>
      <c r="E51" s="114">
        <f t="shared" si="3"/>
        <v>2628.192710250602</v>
      </c>
      <c r="F51" s="114">
        <f t="shared" si="6"/>
        <v>2676.3563045340707</v>
      </c>
      <c r="G51" s="114">
        <f t="shared" si="5"/>
        <v>2674.7368244430413</v>
      </c>
      <c r="H51" s="114">
        <f t="shared" si="8"/>
        <v>2683.3856897720543</v>
      </c>
      <c r="I51" s="114">
        <f t="shared" si="7"/>
        <v>2680.0184034958497</v>
      </c>
      <c r="J51" s="114">
        <f t="shared" si="10"/>
        <v>2695.1967146183015</v>
      </c>
      <c r="K51" s="114">
        <f t="shared" si="9"/>
        <v>2690.6158263798411</v>
      </c>
      <c r="L51" s="114"/>
      <c r="M51" s="2"/>
      <c r="N51" s="12">
        <f t="shared" si="2"/>
        <v>2021.5</v>
      </c>
    </row>
    <row r="52" spans="1:14" x14ac:dyDescent="0.2">
      <c r="A52" s="12" t="str">
        <f t="shared" si="1"/>
        <v>9/30/2021</v>
      </c>
      <c r="C52" s="330">
        <f>'[3]Boeckh (R)'!E100</f>
        <v>2797.9654006250003</v>
      </c>
      <c r="D52" s="114">
        <f t="shared" si="4"/>
        <v>2639.0372215257521</v>
      </c>
      <c r="E52" s="114">
        <f t="shared" si="3"/>
        <v>2644.1035995871521</v>
      </c>
      <c r="F52" s="114">
        <f t="shared" si="6"/>
        <v>2699.4979309031914</v>
      </c>
      <c r="G52" s="114">
        <f t="shared" si="5"/>
        <v>2699.15314340643</v>
      </c>
      <c r="H52" s="114">
        <f t="shared" si="8"/>
        <v>2708.5472475928254</v>
      </c>
      <c r="I52" s="114">
        <f t="shared" si="7"/>
        <v>2706.0119370357379</v>
      </c>
      <c r="J52" s="114">
        <f t="shared" si="10"/>
        <v>2726.3351477979159</v>
      </c>
      <c r="K52" s="114">
        <f t="shared" si="9"/>
        <v>2722.2163869433075</v>
      </c>
      <c r="L52" s="114"/>
      <c r="M52" s="2"/>
      <c r="N52" s="12">
        <f t="shared" si="2"/>
        <v>2021.75</v>
      </c>
    </row>
    <row r="53" spans="1:14" x14ac:dyDescent="0.2">
      <c r="A53" s="12" t="str">
        <f>TEXT(N9,"m/d/yyyy")</f>
        <v>12/31/2021</v>
      </c>
      <c r="C53" s="330">
        <f>'[3]Boeckh (R)'!E101</f>
        <v>2933.7932000000001</v>
      </c>
      <c r="D53" s="114">
        <f t="shared" si="4"/>
        <v>2653.5118241483142</v>
      </c>
      <c r="E53" s="114">
        <f t="shared" si="3"/>
        <v>2660.1108123015665</v>
      </c>
      <c r="F53" s="114">
        <f t="shared" si="6"/>
        <v>2722.6395572723413</v>
      </c>
      <c r="G53" s="114">
        <f t="shared" si="5"/>
        <v>2723.792346590194</v>
      </c>
      <c r="H53" s="114">
        <f t="shared" si="8"/>
        <v>2733.7088054135966</v>
      </c>
      <c r="I53" s="114">
        <f t="shared" si="7"/>
        <v>2732.2575821972864</v>
      </c>
      <c r="J53" s="114">
        <f>TREND($C$42:$C$53,$N$42:$N$53,$N53,TRUE)</f>
        <v>2757.4735809775593</v>
      </c>
      <c r="K53" s="114">
        <f t="shared" si="9"/>
        <v>2754.1880876071682</v>
      </c>
      <c r="L53" s="161"/>
      <c r="M53" s="2"/>
      <c r="N53" s="12">
        <f t="shared" si="2"/>
        <v>2022</v>
      </c>
    </row>
    <row r="54" spans="1:14" x14ac:dyDescent="0.2">
      <c r="A54" s="115"/>
      <c r="B54" s="9"/>
      <c r="C54" s="182"/>
      <c r="D54" s="116"/>
      <c r="E54" s="116"/>
      <c r="F54" s="116"/>
      <c r="G54" s="116"/>
      <c r="H54" s="116"/>
      <c r="I54" s="116"/>
      <c r="J54" s="116"/>
      <c r="K54" s="116"/>
      <c r="M54" s="2"/>
    </row>
    <row r="55" spans="1:14" x14ac:dyDescent="0.2">
      <c r="A55" s="50"/>
      <c r="B55" s="104"/>
      <c r="C55" s="50"/>
      <c r="D55" s="50"/>
      <c r="E55" s="50"/>
      <c r="F55" s="50"/>
      <c r="G55" s="50"/>
      <c r="H55" s="50"/>
      <c r="I55" s="98"/>
      <c r="J55" s="50"/>
      <c r="K55" s="50"/>
      <c r="L55" s="50"/>
      <c r="M55" s="2"/>
    </row>
    <row r="56" spans="1:14" x14ac:dyDescent="0.2">
      <c r="A56" s="12" t="s">
        <v>260</v>
      </c>
      <c r="C56"/>
      <c r="D56" s="20">
        <f>(D53-D49)/D53</f>
        <v>2.1819541169318456E-2</v>
      </c>
      <c r="E56" s="20">
        <f>LOGEST($C$14:$C$53,$N$14:$N$53,TRUE,TRUE)-1</f>
        <v>2.443650095833938E-2</v>
      </c>
      <c r="F56" s="20">
        <f>(F53-F49)/F53</f>
        <v>3.3998810172746259E-2</v>
      </c>
      <c r="G56" s="20">
        <f>LOGEST($C$34:$C$53,$N$34:$N$53,TRUE,TRUE)-1</f>
        <v>3.701700190938495E-2</v>
      </c>
      <c r="H56" s="20">
        <f>(H53-H49)/H53</f>
        <v>3.681673449776459E-2</v>
      </c>
      <c r="I56" s="20">
        <f>LOGEST($C$38:$C$53,$N$38:$N$53,TRUE,TRUE)-1</f>
        <v>3.9364135859690563E-2</v>
      </c>
      <c r="J56" s="20">
        <f>(J53-J49)/J53</f>
        <v>4.5169510807929081E-2</v>
      </c>
      <c r="K56" s="20">
        <f>LOGEST($C$42:$C$53,$N$42:$N$53,TRUE,TRUE)-1</f>
        <v>4.7813057721914243E-2</v>
      </c>
      <c r="L56" s="20"/>
      <c r="M56" s="2"/>
    </row>
    <row r="57" spans="1:14" x14ac:dyDescent="0.2">
      <c r="A57" s="117" t="s">
        <v>261</v>
      </c>
      <c r="B57" s="109"/>
      <c r="C57" s="100"/>
      <c r="D57" s="101">
        <f>INDEX(LINEST($C$14:$C$53,$N$14:$N$53,TRUE,TRUE),3,1)</f>
        <v>0.8725264822175014</v>
      </c>
      <c r="E57" s="101">
        <f>INDEX(LOGEST($C$14:$C$53,$N$14:$N$53,TRUE,TRUE),3,1)</f>
        <v>0.8972739634948409</v>
      </c>
      <c r="F57" s="101">
        <f>INDEX(LINEST($C$34:$C$53,$N$34:$N$53,TRUE,TRUE),3,1)</f>
        <v>0.79472265896573469</v>
      </c>
      <c r="G57" s="101">
        <f>INDEX(LOGEST($C$34:$C$53,$N$34:$N$53,TRUE,TRUE),3,1)</f>
        <v>0.8204631360511615</v>
      </c>
      <c r="H57" s="101">
        <f>INDEX(LINEST($C$38:$C$53,$N$38:$N$53,TRUE,TRUE),3,1)</f>
        <v>0.70741808762293301</v>
      </c>
      <c r="I57" s="101">
        <f>INDEX(LOGEST($C$38:$C$53,$N$38:$N$53,TRUE,TRUE),3,1)</f>
        <v>0.72891499699658668</v>
      </c>
      <c r="J57" s="101">
        <f>INDEX(LINEST($C$42:$C$53,$N$42:$N$53,TRUE,TRUE),3,1)</f>
        <v>0.6346094718382671</v>
      </c>
      <c r="K57" s="101">
        <f>INDEX(LOGEST($C$42:$C$53,$N$42:$N$53,TRUE,TRUE),3,1)</f>
        <v>0.64585375122464483</v>
      </c>
      <c r="L57" s="101"/>
      <c r="M57" s="2"/>
    </row>
    <row r="58" spans="1:14" ht="10.5" thickBo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50"/>
      <c r="M58" s="2"/>
    </row>
    <row r="59" spans="1:14" ht="10.5" thickTop="1" x14ac:dyDescent="0.2">
      <c r="A59"/>
      <c r="B59"/>
      <c r="C59"/>
      <c r="D59"/>
      <c r="E59"/>
      <c r="F59"/>
      <c r="G59" s="50"/>
      <c r="H59"/>
      <c r="I59" s="50"/>
      <c r="M59" s="2"/>
    </row>
    <row r="60" spans="1:14" x14ac:dyDescent="0.2">
      <c r="A60" t="s">
        <v>17</v>
      </c>
      <c r="B60"/>
      <c r="F60"/>
      <c r="G60"/>
      <c r="H60"/>
      <c r="I60"/>
      <c r="J60"/>
      <c r="K60"/>
      <c r="L60"/>
      <c r="M60" s="2"/>
    </row>
    <row r="61" spans="1:14" x14ac:dyDescent="0.2">
      <c r="A61"/>
      <c r="B61" s="22" t="str">
        <f>C12&amp;" = Average Index for Corpus Christi and Houston"</f>
        <v>(2) = Average Index for Corpus Christi and Houston</v>
      </c>
      <c r="C61"/>
      <c r="D61"/>
      <c r="E61"/>
      <c r="F61"/>
      <c r="H61"/>
      <c r="J61"/>
      <c r="K61"/>
      <c r="L61"/>
      <c r="M61" s="2"/>
    </row>
    <row r="62" spans="1:14" x14ac:dyDescent="0.2">
      <c r="A62" s="98"/>
      <c r="B62" s="22" t="str">
        <f>D12&amp;" - "&amp;K12&amp;" = "&amp;C12&amp;" fitted to linear and exponential distributions"</f>
        <v>(3) - (10) = (2) fitted to linear and exponential distributions</v>
      </c>
      <c r="C62" s="98"/>
      <c r="D62" s="98"/>
      <c r="E62" s="98"/>
      <c r="F62" s="98"/>
      <c r="G62" s="98"/>
      <c r="H62" s="98"/>
      <c r="I62" s="50"/>
      <c r="M62" s="2"/>
    </row>
    <row r="63" spans="1:14" x14ac:dyDescent="0.2">
      <c r="A63" s="98"/>
      <c r="B63" s="22"/>
      <c r="C63" s="98"/>
      <c r="D63" s="98"/>
      <c r="E63" s="98"/>
      <c r="F63" s="98"/>
      <c r="G63" s="98"/>
      <c r="H63" s="98"/>
      <c r="I63" s="50"/>
      <c r="M63" s="2"/>
    </row>
    <row r="64" spans="1:14" x14ac:dyDescent="0.2">
      <c r="A64" s="98"/>
      <c r="B64" s="22"/>
      <c r="C64" s="98"/>
      <c r="D64" s="98"/>
      <c r="E64" s="98"/>
      <c r="F64" s="98"/>
      <c r="G64" s="98"/>
      <c r="H64" s="98"/>
      <c r="I64" s="50"/>
      <c r="M64" s="2"/>
    </row>
    <row r="65" spans="1:13" x14ac:dyDescent="0.2">
      <c r="A65" s="98"/>
      <c r="B65" s="22"/>
      <c r="C65" s="98"/>
      <c r="D65" s="98"/>
      <c r="E65" s="98"/>
      <c r="F65" s="98"/>
      <c r="G65" s="98"/>
      <c r="H65" s="98"/>
      <c r="I65" s="50"/>
      <c r="M65" s="2"/>
    </row>
    <row r="66" spans="1:13" x14ac:dyDescent="0.2">
      <c r="A66" s="98"/>
      <c r="B66" s="22"/>
      <c r="C66" s="98"/>
      <c r="D66" s="98"/>
      <c r="E66" s="98"/>
      <c r="F66" s="98"/>
      <c r="G66" s="98"/>
      <c r="H66" s="98"/>
      <c r="I66" s="50"/>
      <c r="M66" s="2"/>
    </row>
    <row r="67" spans="1:13" x14ac:dyDescent="0.2">
      <c r="A67" s="98"/>
      <c r="B67" s="22"/>
      <c r="C67" s="98"/>
      <c r="D67" s="98"/>
      <c r="E67" s="98"/>
      <c r="F67" s="98"/>
      <c r="G67" s="98"/>
      <c r="H67" s="98"/>
      <c r="I67" s="50"/>
      <c r="M67" s="2"/>
    </row>
    <row r="68" spans="1:13" ht="10.5" thickBot="1" x14ac:dyDescent="0.25">
      <c r="A68"/>
      <c r="D68"/>
      <c r="E68"/>
      <c r="F68"/>
      <c r="H68"/>
      <c r="J68"/>
      <c r="K68"/>
      <c r="L68"/>
      <c r="M68" s="2"/>
    </row>
    <row r="69" spans="1:13" ht="10.5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0">
    <tabColor rgb="FF92D050"/>
  </sheetPr>
  <dimension ref="A1:R70"/>
  <sheetViews>
    <sheetView showGridLines="0" topLeftCell="A55" workbookViewId="0">
      <selection activeCell="B7" sqref="B7"/>
    </sheetView>
  </sheetViews>
  <sheetFormatPr defaultColWidth="11.33203125" defaultRowHeight="10" x14ac:dyDescent="0.2"/>
  <cols>
    <col min="1" max="1" width="3.44140625" style="12" customWidth="1"/>
    <col min="2" max="2" width="10.6640625" style="12" customWidth="1"/>
    <col min="3" max="11" width="11.44140625" style="12" customWidth="1"/>
    <col min="12" max="12" width="3.44140625" style="12" customWidth="1"/>
    <col min="13" max="16384" width="11.33203125" style="12"/>
  </cols>
  <sheetData>
    <row r="1" spans="1:18" ht="10.5" x14ac:dyDescent="0.25">
      <c r="A1" s="8" t="str">
        <f>'1'!$A$1</f>
        <v>Texas Windstorm Insurance Association</v>
      </c>
      <c r="C1"/>
      <c r="D1"/>
      <c r="E1"/>
      <c r="F1"/>
      <c r="G1"/>
      <c r="H1"/>
      <c r="I1"/>
      <c r="J1"/>
      <c r="L1" s="7" t="s">
        <v>67</v>
      </c>
      <c r="M1" s="1"/>
      <c r="Q1" s="186" t="s">
        <v>428</v>
      </c>
      <c r="R1" s="12" t="s">
        <v>427</v>
      </c>
    </row>
    <row r="2" spans="1:18" ht="10.5" x14ac:dyDescent="0.25">
      <c r="A2" s="8" t="str">
        <f>'1'!$A$2</f>
        <v>Residential Property - Wind &amp; Hail</v>
      </c>
      <c r="C2"/>
      <c r="D2"/>
      <c r="E2"/>
      <c r="F2"/>
      <c r="G2"/>
      <c r="H2"/>
      <c r="I2"/>
      <c r="J2"/>
      <c r="L2" s="7" t="s">
        <v>59</v>
      </c>
      <c r="M2" s="2"/>
    </row>
    <row r="3" spans="1:18" ht="10.5" x14ac:dyDescent="0.25">
      <c r="A3" s="8" t="str">
        <f>'1'!$A$3</f>
        <v>Rate Level Review</v>
      </c>
      <c r="C3"/>
      <c r="D3"/>
      <c r="E3"/>
      <c r="F3"/>
      <c r="G3"/>
      <c r="H3"/>
      <c r="I3"/>
      <c r="J3"/>
      <c r="K3"/>
      <c r="L3"/>
      <c r="M3" s="2"/>
    </row>
    <row r="4" spans="1:18" x14ac:dyDescent="0.2">
      <c r="A4" s="105" t="s">
        <v>236</v>
      </c>
      <c r="C4"/>
      <c r="D4"/>
      <c r="E4"/>
      <c r="F4"/>
      <c r="G4"/>
      <c r="H4"/>
      <c r="I4"/>
      <c r="J4"/>
      <c r="K4"/>
      <c r="L4"/>
      <c r="M4" s="2"/>
    </row>
    <row r="5" spans="1:18" x14ac:dyDescent="0.2">
      <c r="A5" s="105" t="s">
        <v>263</v>
      </c>
      <c r="C5"/>
      <c r="D5"/>
      <c r="E5"/>
      <c r="F5"/>
      <c r="G5"/>
      <c r="H5"/>
      <c r="I5"/>
      <c r="J5"/>
      <c r="K5"/>
      <c r="L5"/>
      <c r="M5" s="2"/>
    </row>
    <row r="6" spans="1:18" x14ac:dyDescent="0.2">
      <c r="B6"/>
      <c r="C6"/>
      <c r="D6"/>
      <c r="E6"/>
      <c r="F6"/>
      <c r="G6"/>
      <c r="H6"/>
      <c r="I6"/>
      <c r="J6"/>
      <c r="K6"/>
      <c r="L6"/>
      <c r="M6" s="2"/>
    </row>
    <row r="7" spans="1:18" ht="10.5" thickBot="1" x14ac:dyDescent="0.25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50"/>
      <c r="M7" s="2"/>
    </row>
    <row r="8" spans="1:18" ht="10.5" thickTop="1" x14ac:dyDescent="0.2">
      <c r="A8"/>
      <c r="B8"/>
      <c r="C8"/>
      <c r="D8"/>
      <c r="E8"/>
      <c r="F8"/>
      <c r="G8"/>
      <c r="H8"/>
      <c r="I8" s="50"/>
      <c r="J8"/>
      <c r="K8" s="50"/>
      <c r="L8" s="50"/>
      <c r="M8" s="2"/>
      <c r="N8" t="s">
        <v>238</v>
      </c>
    </row>
    <row r="9" spans="1:18" x14ac:dyDescent="0.2">
      <c r="A9"/>
      <c r="B9"/>
      <c r="C9" s="22"/>
      <c r="D9" s="10" t="s">
        <v>253</v>
      </c>
      <c r="E9"/>
      <c r="F9" s="10"/>
      <c r="G9"/>
      <c r="H9"/>
      <c r="I9"/>
      <c r="J9"/>
      <c r="K9"/>
      <c r="L9"/>
      <c r="M9" s="2"/>
      <c r="N9" s="89">
        <v>44561</v>
      </c>
    </row>
    <row r="10" spans="1:18" x14ac:dyDescent="0.2">
      <c r="A10" t="s">
        <v>239</v>
      </c>
      <c r="B10"/>
      <c r="C10" t="s">
        <v>242</v>
      </c>
      <c r="D10" t="s">
        <v>254</v>
      </c>
      <c r="E10"/>
      <c r="F10" t="s">
        <v>255</v>
      </c>
      <c r="G10"/>
      <c r="H10" t="s">
        <v>256</v>
      </c>
      <c r="I10"/>
      <c r="J10" t="s">
        <v>257</v>
      </c>
      <c r="K10"/>
      <c r="L10"/>
      <c r="M10" s="2"/>
    </row>
    <row r="11" spans="1:18" x14ac:dyDescent="0.2">
      <c r="A11" s="9" t="s">
        <v>34</v>
      </c>
      <c r="B11" s="9"/>
      <c r="C11" s="9" t="s">
        <v>245</v>
      </c>
      <c r="D11" s="9" t="s">
        <v>258</v>
      </c>
      <c r="E11" s="9" t="s">
        <v>259</v>
      </c>
      <c r="F11" s="9" t="s">
        <v>258</v>
      </c>
      <c r="G11" s="9" t="s">
        <v>259</v>
      </c>
      <c r="H11" s="9" t="s">
        <v>258</v>
      </c>
      <c r="I11" s="9" t="s">
        <v>259</v>
      </c>
      <c r="J11" s="9" t="s">
        <v>258</v>
      </c>
      <c r="K11" s="9" t="s">
        <v>259</v>
      </c>
      <c r="L11" s="50"/>
      <c r="M11" s="2"/>
      <c r="N11" s="9" t="s">
        <v>235</v>
      </c>
    </row>
    <row r="12" spans="1:18" x14ac:dyDescent="0.2">
      <c r="A12" s="13" t="str">
        <f>TEXT(COLUMN(),"(#)")</f>
        <v>(1)</v>
      </c>
      <c r="B12" s="13"/>
      <c r="C12" s="11" t="str">
        <f t="shared" ref="C12:K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 t="str">
        <f t="shared" si="0"/>
        <v>(9)</v>
      </c>
      <c r="K12" s="11" t="str">
        <f t="shared" si="0"/>
        <v>(10)</v>
      </c>
      <c r="L12" s="11"/>
      <c r="M12" s="2"/>
    </row>
    <row r="13" spans="1:18" x14ac:dyDescent="0.2">
      <c r="A13"/>
      <c r="B13"/>
      <c r="C13"/>
      <c r="D13"/>
      <c r="E13"/>
      <c r="F13"/>
      <c r="G13"/>
      <c r="H13"/>
      <c r="I13"/>
      <c r="J13"/>
      <c r="K13"/>
      <c r="L13"/>
      <c r="M13" s="2"/>
    </row>
    <row r="14" spans="1:18" x14ac:dyDescent="0.2">
      <c r="A14" s="12" t="str">
        <f t="shared" ref="A14:A53" si="1">TEXT(DATE(YEAR(A15+1),MONTH(A15+1)-3,1)-1,"m/d/yyyy")</f>
        <v>9/30/2011</v>
      </c>
      <c r="B14" s="25"/>
      <c r="C14" s="329">
        <f>[3]CPI!H100</f>
        <v>180.52</v>
      </c>
      <c r="D14" s="114">
        <f>TREND($C$14:$C$55,$N$14:$N$55,$N14,TRUE)</f>
        <v>182.35561461794032</v>
      </c>
      <c r="E14" s="114">
        <f>GROWTH($C$14:$C$55,$N$14:$N$55,$N14,TRUE)</f>
        <v>182.49051159923943</v>
      </c>
      <c r="F14" s="114"/>
      <c r="G14" s="114"/>
      <c r="H14" s="36"/>
      <c r="I14"/>
      <c r="J14" s="36"/>
      <c r="K14"/>
      <c r="L14"/>
      <c r="M14" s="2"/>
      <c r="N14" s="12">
        <f t="shared" ref="N14:N55" si="2">YEAR(A14)+MONTH(A14)/12</f>
        <v>2011.75</v>
      </c>
    </row>
    <row r="15" spans="1:18" x14ac:dyDescent="0.2">
      <c r="A15" s="12" t="str">
        <f t="shared" si="1"/>
        <v>12/31/2011</v>
      </c>
      <c r="B15" s="98"/>
      <c r="C15" s="329">
        <f>[3]CPI!H101</f>
        <v>181.55</v>
      </c>
      <c r="D15" s="114">
        <f t="shared" ref="D15:D54" si="3">TREND($C$14:$C$55,$N$14:$N$55,$N15,TRUE)</f>
        <v>182.82244874807566</v>
      </c>
      <c r="E15" s="114">
        <f t="shared" ref="E15:E55" si="4">GROWTH($C$14:$C$55,$N$14:$N$55,$N15,TRUE)</f>
        <v>182.93554876481531</v>
      </c>
      <c r="F15" s="98"/>
      <c r="G15" s="98"/>
      <c r="H15" s="98"/>
      <c r="I15" s="98"/>
      <c r="J15" s="98"/>
      <c r="K15"/>
      <c r="L15"/>
      <c r="M15" s="2"/>
      <c r="N15" s="12">
        <f t="shared" si="2"/>
        <v>2012</v>
      </c>
    </row>
    <row r="16" spans="1:18" x14ac:dyDescent="0.2">
      <c r="A16" s="12" t="str">
        <f t="shared" si="1"/>
        <v>3/31/2012</v>
      </c>
      <c r="B16" s="25"/>
      <c r="C16" s="329">
        <f>[3]CPI!H102</f>
        <v>182.78</v>
      </c>
      <c r="D16" s="114">
        <f t="shared" si="3"/>
        <v>183.289282878211</v>
      </c>
      <c r="E16" s="114">
        <f t="shared" si="4"/>
        <v>183.38167123656478</v>
      </c>
      <c r="F16" s="114"/>
      <c r="G16" s="114"/>
      <c r="H16" s="36"/>
      <c r="I16"/>
      <c r="J16" s="36"/>
      <c r="K16"/>
      <c r="L16"/>
      <c r="M16" s="2"/>
      <c r="N16" s="12">
        <f t="shared" si="2"/>
        <v>2012.25</v>
      </c>
    </row>
    <row r="17" spans="1:14" x14ac:dyDescent="0.2">
      <c r="A17" s="12" t="str">
        <f t="shared" si="1"/>
        <v>6/30/2012</v>
      </c>
      <c r="B17" s="25"/>
      <c r="C17" s="329">
        <f>[3]CPI!H103</f>
        <v>183.87</v>
      </c>
      <c r="D17" s="114">
        <f t="shared" si="3"/>
        <v>183.75611700834634</v>
      </c>
      <c r="E17" s="114">
        <f t="shared" si="4"/>
        <v>183.82888166120819</v>
      </c>
      <c r="F17" s="114"/>
      <c r="G17" s="114"/>
      <c r="H17" s="36"/>
      <c r="I17"/>
      <c r="J17" s="36"/>
      <c r="K17"/>
      <c r="L17"/>
      <c r="M17" s="2"/>
      <c r="N17" s="12">
        <f t="shared" si="2"/>
        <v>2012.5</v>
      </c>
    </row>
    <row r="18" spans="1:14" x14ac:dyDescent="0.2">
      <c r="A18" s="12" t="str">
        <f t="shared" si="1"/>
        <v>9/30/2012</v>
      </c>
      <c r="B18" s="25"/>
      <c r="C18" s="329">
        <f>[3]CPI!H104</f>
        <v>184.57</v>
      </c>
      <c r="D18" s="114">
        <f t="shared" si="3"/>
        <v>184.22295113848168</v>
      </c>
      <c r="E18" s="114">
        <f t="shared" si="4"/>
        <v>184.27718269192297</v>
      </c>
      <c r="F18" s="114"/>
      <c r="G18" s="114"/>
      <c r="H18" s="36"/>
      <c r="I18"/>
      <c r="J18" s="36"/>
      <c r="K18"/>
      <c r="L18"/>
      <c r="M18" s="2"/>
      <c r="N18" s="12">
        <f t="shared" si="2"/>
        <v>2012.75</v>
      </c>
    </row>
    <row r="19" spans="1:14" x14ac:dyDescent="0.2">
      <c r="A19" s="12" t="str">
        <f t="shared" si="1"/>
        <v>12/31/2012</v>
      </c>
      <c r="B19" s="25"/>
      <c r="C19" s="329">
        <f>[3]CPI!H105</f>
        <v>185.03</v>
      </c>
      <c r="D19" s="114">
        <f t="shared" si="3"/>
        <v>184.68978526861702</v>
      </c>
      <c r="E19" s="114">
        <f t="shared" si="4"/>
        <v>184.72657698835425</v>
      </c>
      <c r="F19" s="114"/>
      <c r="G19" s="114"/>
      <c r="H19" s="36"/>
      <c r="I19"/>
      <c r="J19" s="36"/>
      <c r="K19"/>
      <c r="L19"/>
      <c r="M19" s="2"/>
      <c r="N19" s="12">
        <f t="shared" si="2"/>
        <v>2013</v>
      </c>
    </row>
    <row r="20" spans="1:14" x14ac:dyDescent="0.2">
      <c r="A20" s="12" t="str">
        <f t="shared" si="1"/>
        <v>3/31/2013</v>
      </c>
      <c r="B20" s="25"/>
      <c r="C20" s="329">
        <f>[3]CPI!H106</f>
        <v>185.38</v>
      </c>
      <c r="D20" s="114">
        <f>TREND($C$14:$C$55,$N$14:$N$55,$N20,TRUE)</f>
        <v>185.15661939875235</v>
      </c>
      <c r="E20" s="114">
        <f t="shared" si="4"/>
        <v>185.17706721663578</v>
      </c>
      <c r="F20" s="114"/>
      <c r="G20" s="114"/>
      <c r="H20" s="36"/>
      <c r="I20"/>
      <c r="J20" s="36"/>
      <c r="K20"/>
      <c r="L20"/>
      <c r="M20" s="2"/>
      <c r="N20" s="12">
        <f t="shared" si="2"/>
        <v>2013.25</v>
      </c>
    </row>
    <row r="21" spans="1:14" x14ac:dyDescent="0.2">
      <c r="A21" s="12" t="str">
        <f t="shared" si="1"/>
        <v>6/30/2013</v>
      </c>
      <c r="B21" s="25"/>
      <c r="C21" s="329">
        <f>[3]CPI!H107</f>
        <v>185.51</v>
      </c>
      <c r="D21" s="114">
        <f t="shared" si="3"/>
        <v>185.62345352888769</v>
      </c>
      <c r="E21" s="114">
        <f t="shared" si="4"/>
        <v>185.62865604940055</v>
      </c>
      <c r="F21" s="114"/>
      <c r="G21" s="114"/>
      <c r="H21" s="36"/>
      <c r="I21"/>
      <c r="J21" s="36"/>
      <c r="K21"/>
      <c r="L21"/>
      <c r="M21" s="2"/>
      <c r="N21" s="12">
        <f t="shared" si="2"/>
        <v>2013.5</v>
      </c>
    </row>
    <row r="22" spans="1:14" x14ac:dyDescent="0.2">
      <c r="A22" s="12" t="str">
        <f t="shared" si="1"/>
        <v>9/30/2013</v>
      </c>
      <c r="B22" s="25"/>
      <c r="C22" s="329">
        <f>[3]CPI!H108</f>
        <v>185.82</v>
      </c>
      <c r="D22" s="114">
        <f t="shared" si="3"/>
        <v>186.09028765902258</v>
      </c>
      <c r="E22" s="114">
        <f t="shared" si="4"/>
        <v>186.08134616580193</v>
      </c>
      <c r="F22" s="114"/>
      <c r="G22" s="114"/>
      <c r="H22" s="36"/>
      <c r="I22"/>
      <c r="J22" s="36"/>
      <c r="K22"/>
      <c r="L22"/>
      <c r="M22" s="2"/>
      <c r="N22" s="12">
        <f t="shared" si="2"/>
        <v>2013.75</v>
      </c>
    </row>
    <row r="23" spans="1:14" x14ac:dyDescent="0.2">
      <c r="A23" s="12" t="str">
        <f t="shared" si="1"/>
        <v>12/31/2013</v>
      </c>
      <c r="B23" s="51"/>
      <c r="C23" s="329">
        <f>[3]CPI!H109</f>
        <v>186.03</v>
      </c>
      <c r="D23" s="114">
        <f t="shared" si="3"/>
        <v>186.55712178915792</v>
      </c>
      <c r="E23" s="114">
        <f t="shared" si="4"/>
        <v>186.53514025152424</v>
      </c>
      <c r="F23" s="114"/>
      <c r="G23" s="114"/>
      <c r="H23" s="36"/>
      <c r="I23"/>
      <c r="J23" s="36"/>
      <c r="K23"/>
      <c r="L23"/>
      <c r="M23" s="2"/>
      <c r="N23" s="12">
        <f t="shared" si="2"/>
        <v>2014</v>
      </c>
    </row>
    <row r="24" spans="1:14" x14ac:dyDescent="0.2">
      <c r="A24" s="12" t="str">
        <f t="shared" si="1"/>
        <v>3/31/2014</v>
      </c>
      <c r="B24"/>
      <c r="C24" s="329">
        <f>[3]CPI!H110</f>
        <v>186.43</v>
      </c>
      <c r="D24" s="114">
        <f t="shared" si="3"/>
        <v>187.02395591929326</v>
      </c>
      <c r="E24" s="114">
        <f t="shared" si="4"/>
        <v>186.99004099880398</v>
      </c>
      <c r="F24" s="114"/>
      <c r="G24" s="114"/>
      <c r="H24"/>
      <c r="I24"/>
      <c r="J24"/>
      <c r="K24"/>
      <c r="L24"/>
      <c r="M24" s="2"/>
      <c r="N24" s="12">
        <f t="shared" si="2"/>
        <v>2014.25</v>
      </c>
    </row>
    <row r="25" spans="1:14" x14ac:dyDescent="0.2">
      <c r="A25" s="12" t="str">
        <f t="shared" si="1"/>
        <v>6/30/2014</v>
      </c>
      <c r="B25"/>
      <c r="C25" s="329">
        <f>[3]CPI!H111</f>
        <v>186.87</v>
      </c>
      <c r="D25" s="114">
        <f t="shared" si="3"/>
        <v>187.4907900494286</v>
      </c>
      <c r="E25" s="114">
        <f t="shared" si="4"/>
        <v>187.44605110644127</v>
      </c>
      <c r="F25" s="114"/>
      <c r="G25" s="114"/>
      <c r="H25"/>
      <c r="I25"/>
      <c r="J25"/>
      <c r="K25"/>
      <c r="L25"/>
      <c r="M25" s="2"/>
      <c r="N25" s="12">
        <f t="shared" si="2"/>
        <v>2014.5</v>
      </c>
    </row>
    <row r="26" spans="1:14" x14ac:dyDescent="0.2">
      <c r="A26" s="12" t="str">
        <f t="shared" si="1"/>
        <v>9/30/2014</v>
      </c>
      <c r="B26"/>
      <c r="C26" s="329">
        <f>[3]CPI!H112</f>
        <v>187.59</v>
      </c>
      <c r="D26" s="114">
        <f t="shared" si="3"/>
        <v>187.95762417956394</v>
      </c>
      <c r="E26" s="114">
        <f t="shared" si="4"/>
        <v>187.90317327981759</v>
      </c>
      <c r="F26" s="114"/>
      <c r="G26" s="114"/>
      <c r="H26"/>
      <c r="I26"/>
      <c r="J26"/>
      <c r="K26"/>
      <c r="L26"/>
      <c r="M26" s="2"/>
      <c r="N26" s="12">
        <f t="shared" si="2"/>
        <v>2014.75</v>
      </c>
    </row>
    <row r="27" spans="1:14" x14ac:dyDescent="0.2">
      <c r="A27" s="12" t="str">
        <f t="shared" si="1"/>
        <v>12/31/2014</v>
      </c>
      <c r="B27"/>
      <c r="C27" s="329">
        <f>[3]CPI!H113</f>
        <v>188.62</v>
      </c>
      <c r="D27" s="114">
        <f t="shared" si="3"/>
        <v>188.42445830969928</v>
      </c>
      <c r="E27" s="114">
        <f t="shared" si="4"/>
        <v>188.36141023091415</v>
      </c>
      <c r="F27" s="114"/>
      <c r="G27" s="114"/>
      <c r="H27"/>
      <c r="I27"/>
      <c r="J27"/>
      <c r="K27"/>
      <c r="L27"/>
      <c r="M27" s="2"/>
      <c r="N27" s="12">
        <f t="shared" si="2"/>
        <v>2015</v>
      </c>
    </row>
    <row r="28" spans="1:14" x14ac:dyDescent="0.2">
      <c r="A28" s="12" t="str">
        <f t="shared" si="1"/>
        <v>3/31/2015</v>
      </c>
      <c r="B28"/>
      <c r="C28" s="329">
        <f>[3]CPI!H114</f>
        <v>189.46</v>
      </c>
      <c r="D28" s="114">
        <f t="shared" si="3"/>
        <v>188.89129243983461</v>
      </c>
      <c r="E28" s="114">
        <f t="shared" si="4"/>
        <v>188.82076467832309</v>
      </c>
      <c r="F28" s="114"/>
      <c r="G28" s="114"/>
      <c r="H28"/>
      <c r="I28"/>
      <c r="J28"/>
      <c r="K28"/>
      <c r="L28"/>
      <c r="M28" s="2"/>
      <c r="N28" s="12">
        <f t="shared" si="2"/>
        <v>2015.25</v>
      </c>
    </row>
    <row r="29" spans="1:14" x14ac:dyDescent="0.2">
      <c r="A29" s="12" t="str">
        <f t="shared" si="1"/>
        <v>6/30/2015</v>
      </c>
      <c r="B29"/>
      <c r="C29" s="329">
        <f>[3]CPI!H115</f>
        <v>189.59</v>
      </c>
      <c r="D29" s="114">
        <f t="shared" si="3"/>
        <v>189.35812656996995</v>
      </c>
      <c r="E29" s="114">
        <f>GROWTH($C$14:$C$55,$N$14:$N$55,$N29,TRUE)</f>
        <v>189.28123934726901</v>
      </c>
      <c r="F29" s="114"/>
      <c r="G29" s="114"/>
      <c r="H29"/>
      <c r="I29"/>
      <c r="J29"/>
      <c r="K29"/>
      <c r="L29"/>
      <c r="M29" s="2"/>
      <c r="N29" s="12">
        <f t="shared" si="2"/>
        <v>2015.5</v>
      </c>
    </row>
    <row r="30" spans="1:14" x14ac:dyDescent="0.2">
      <c r="A30" s="12" t="str">
        <f t="shared" si="1"/>
        <v>9/30/2015</v>
      </c>
      <c r="B30"/>
      <c r="C30" s="329">
        <f>[3]CPI!H116</f>
        <v>190.03</v>
      </c>
      <c r="D30" s="114">
        <f t="shared" si="3"/>
        <v>189.82496070010529</v>
      </c>
      <c r="E30" s="114">
        <f t="shared" si="4"/>
        <v>189.74283696961987</v>
      </c>
      <c r="F30" s="114"/>
      <c r="G30" s="114"/>
      <c r="H30"/>
      <c r="I30"/>
      <c r="J30"/>
      <c r="K30"/>
      <c r="L30"/>
      <c r="M30" s="2"/>
      <c r="N30" s="12">
        <f t="shared" si="2"/>
        <v>2015.75</v>
      </c>
    </row>
    <row r="31" spans="1:14" x14ac:dyDescent="0.2">
      <c r="A31" s="12" t="str">
        <f t="shared" si="1"/>
        <v>12/31/2015</v>
      </c>
      <c r="B31" s="109"/>
      <c r="C31" s="329">
        <f>[3]CPI!H117</f>
        <v>190.5</v>
      </c>
      <c r="D31" s="114">
        <f t="shared" si="3"/>
        <v>190.29179483024063</v>
      </c>
      <c r="E31" s="114">
        <f t="shared" si="4"/>
        <v>190.2055602839084</v>
      </c>
      <c r="F31" s="114"/>
      <c r="G31" s="114"/>
      <c r="H31" s="29"/>
      <c r="I31" s="102"/>
      <c r="J31" s="29"/>
      <c r="K31" s="102"/>
      <c r="L31" s="102"/>
      <c r="M31" s="2"/>
      <c r="N31" s="12">
        <f t="shared" si="2"/>
        <v>2016</v>
      </c>
    </row>
    <row r="32" spans="1:14" x14ac:dyDescent="0.2">
      <c r="A32" s="12" t="str">
        <f t="shared" si="1"/>
        <v>3/31/2016</v>
      </c>
      <c r="B32" s="109"/>
      <c r="C32" s="329">
        <f>[3]CPI!H118</f>
        <v>190.95</v>
      </c>
      <c r="D32" s="114">
        <f t="shared" si="3"/>
        <v>190.75862896037597</v>
      </c>
      <c r="E32" s="114">
        <f t="shared" si="4"/>
        <v>190.6694120353431</v>
      </c>
      <c r="F32" s="114"/>
      <c r="G32" s="114"/>
      <c r="H32" s="29"/>
      <c r="I32" s="102"/>
      <c r="J32" s="29"/>
      <c r="K32" s="102"/>
      <c r="L32" s="102"/>
      <c r="M32" s="2"/>
      <c r="N32" s="12">
        <f t="shared" si="2"/>
        <v>2016.25</v>
      </c>
    </row>
    <row r="33" spans="1:14" x14ac:dyDescent="0.2">
      <c r="A33" s="12" t="str">
        <f t="shared" si="1"/>
        <v>6/30/2016</v>
      </c>
      <c r="B33" s="51"/>
      <c r="C33" s="329">
        <f>[3]CPI!H119</f>
        <v>192.03</v>
      </c>
      <c r="D33" s="114">
        <f t="shared" si="3"/>
        <v>191.22546309051131</v>
      </c>
      <c r="E33" s="114">
        <f t="shared" si="4"/>
        <v>191.13439497582993</v>
      </c>
      <c r="F33" s="114"/>
      <c r="G33" s="114"/>
      <c r="H33" s="29"/>
      <c r="I33" s="102"/>
      <c r="J33" s="29"/>
      <c r="K33" s="102"/>
      <c r="L33" s="102"/>
      <c r="M33" s="2"/>
      <c r="N33" s="12">
        <f t="shared" si="2"/>
        <v>2016.5</v>
      </c>
    </row>
    <row r="34" spans="1:14" x14ac:dyDescent="0.2">
      <c r="A34" s="12" t="str">
        <f t="shared" si="1"/>
        <v>9/30/2016</v>
      </c>
      <c r="B34" s="51"/>
      <c r="C34" s="329">
        <f>[3]CPI!H120</f>
        <v>192.82</v>
      </c>
      <c r="D34" s="114">
        <f t="shared" si="3"/>
        <v>191.69229722064665</v>
      </c>
      <c r="E34" s="114">
        <f t="shared" si="4"/>
        <v>191.60051186398303</v>
      </c>
      <c r="F34" s="114"/>
      <c r="G34" s="114"/>
      <c r="H34" s="29"/>
      <c r="I34" s="102"/>
      <c r="J34" s="29"/>
      <c r="K34" s="102"/>
      <c r="L34" s="102"/>
      <c r="M34" s="2"/>
      <c r="N34" s="12">
        <f t="shared" si="2"/>
        <v>2016.75</v>
      </c>
    </row>
    <row r="35" spans="1:14" x14ac:dyDescent="0.2">
      <c r="A35" s="12" t="str">
        <f t="shared" si="1"/>
        <v>12/31/2016</v>
      </c>
      <c r="B35" s="109"/>
      <c r="C35" s="329">
        <f>[3]CPI!H121</f>
        <v>193.56</v>
      </c>
      <c r="D35" s="114">
        <f t="shared" si="3"/>
        <v>192.15913135078199</v>
      </c>
      <c r="E35" s="114">
        <f>GROWTH($C$14:$C$55,$N$14:$N$55,$N35,TRUE)</f>
        <v>192.06776546514675</v>
      </c>
      <c r="F35" s="114"/>
      <c r="G35" s="114"/>
      <c r="H35" s="36"/>
      <c r="I35" s="102"/>
      <c r="J35" s="36"/>
      <c r="K35" s="102"/>
      <c r="L35" s="102"/>
      <c r="M35" s="2"/>
      <c r="N35" s="12">
        <f t="shared" si="2"/>
        <v>2017</v>
      </c>
    </row>
    <row r="36" spans="1:14" x14ac:dyDescent="0.2">
      <c r="A36" s="12" t="str">
        <f t="shared" si="1"/>
        <v>3/31/2017</v>
      </c>
      <c r="B36" s="22"/>
      <c r="C36" s="329">
        <f>[3]CPI!H122</f>
        <v>193.85</v>
      </c>
      <c r="D36" s="114">
        <f t="shared" si="3"/>
        <v>192.62596548091733</v>
      </c>
      <c r="E36" s="114">
        <f t="shared" si="4"/>
        <v>192.5361585514066</v>
      </c>
      <c r="F36" s="114">
        <f>TREND($C$36:$C$55,$N$36:$N$55,$N36,TRUE)</f>
        <v>193.68928571428569</v>
      </c>
      <c r="G36" s="114">
        <f>GROWTH($C$36:$C$55,$N$36:$N$55,$N36,TRUE)</f>
        <v>193.72109566526234</v>
      </c>
      <c r="H36"/>
      <c r="I36"/>
      <c r="J36"/>
      <c r="K36"/>
      <c r="L36"/>
      <c r="M36" s="2"/>
      <c r="N36" s="12">
        <f t="shared" si="2"/>
        <v>2017.25</v>
      </c>
    </row>
    <row r="37" spans="1:14" x14ac:dyDescent="0.2">
      <c r="A37" s="12" t="str">
        <f t="shared" si="1"/>
        <v>6/30/2017</v>
      </c>
      <c r="B37" s="22"/>
      <c r="C37" s="329">
        <f>[3]CPI!H123</f>
        <v>194.07</v>
      </c>
      <c r="D37" s="114">
        <f t="shared" si="3"/>
        <v>193.09279961105267</v>
      </c>
      <c r="E37" s="114">
        <f t="shared" si="4"/>
        <v>193.00569390161093</v>
      </c>
      <c r="F37" s="114">
        <f t="shared" ref="F37:F54" si="5">TREND($C$36:$C$55,$N$36:$N$55,$N37,TRUE)</f>
        <v>194.04499248120283</v>
      </c>
      <c r="G37" s="114">
        <f t="shared" ref="G37:G54" si="6">GROWTH($C$36:$C$55,$N$36:$N$55,$N37,TRUE)</f>
        <v>194.06817366455607</v>
      </c>
      <c r="H37"/>
      <c r="J37"/>
      <c r="M37" s="2"/>
      <c r="N37" s="12">
        <f t="shared" si="2"/>
        <v>2017.5</v>
      </c>
    </row>
    <row r="38" spans="1:14" x14ac:dyDescent="0.2">
      <c r="A38" s="12" t="str">
        <f t="shared" si="1"/>
        <v>9/30/2017</v>
      </c>
      <c r="B38" s="22"/>
      <c r="C38" s="329">
        <f>[3]CPI!H124</f>
        <v>194.14</v>
      </c>
      <c r="D38" s="114">
        <f t="shared" si="3"/>
        <v>193.55963374118801</v>
      </c>
      <c r="E38" s="114">
        <f t="shared" si="4"/>
        <v>193.47637430138209</v>
      </c>
      <c r="F38" s="114">
        <f t="shared" si="5"/>
        <v>194.40069924811996</v>
      </c>
      <c r="G38" s="114">
        <f t="shared" si="6"/>
        <v>194.41587350184417</v>
      </c>
      <c r="H38" s="114"/>
      <c r="I38" s="114"/>
      <c r="J38" s="102"/>
      <c r="K38" s="102"/>
      <c r="L38" s="102"/>
      <c r="M38" s="2"/>
      <c r="N38" s="12">
        <f t="shared" si="2"/>
        <v>2017.75</v>
      </c>
    </row>
    <row r="39" spans="1:14" x14ac:dyDescent="0.2">
      <c r="A39" s="12" t="str">
        <f t="shared" si="1"/>
        <v>12/31/2017</v>
      </c>
      <c r="B39" s="22"/>
      <c r="C39" s="329">
        <f>[3]CPI!H125</f>
        <v>194.1</v>
      </c>
      <c r="D39" s="114">
        <f t="shared" si="3"/>
        <v>194.02646787132335</v>
      </c>
      <c r="E39" s="114">
        <f t="shared" si="4"/>
        <v>193.94820254313856</v>
      </c>
      <c r="F39" s="114">
        <f t="shared" si="5"/>
        <v>194.75640601503756</v>
      </c>
      <c r="G39" s="114">
        <f t="shared" si="6"/>
        <v>194.76419629123492</v>
      </c>
      <c r="H39" s="114"/>
      <c r="I39" s="114"/>
      <c r="J39" s="102"/>
      <c r="K39" s="102"/>
      <c r="L39" s="102"/>
      <c r="M39" s="2"/>
      <c r="N39" s="12">
        <f t="shared" si="2"/>
        <v>2018</v>
      </c>
    </row>
    <row r="40" spans="1:14" x14ac:dyDescent="0.2">
      <c r="A40" s="12" t="str">
        <f t="shared" si="1"/>
        <v>3/31/2018</v>
      </c>
      <c r="B40" s="22"/>
      <c r="C40" s="329">
        <f>[3]CPI!H126</f>
        <v>194.71</v>
      </c>
      <c r="D40" s="114">
        <f t="shared" si="3"/>
        <v>194.49330200145869</v>
      </c>
      <c r="E40" s="114">
        <f t="shared" si="4"/>
        <v>194.42118142610587</v>
      </c>
      <c r="F40" s="114">
        <f t="shared" si="5"/>
        <v>195.11211278195469</v>
      </c>
      <c r="G40" s="114">
        <f t="shared" si="6"/>
        <v>195.11314314883316</v>
      </c>
      <c r="H40" s="114">
        <f>TREND($C$40:$C$55,$N$40:$N$55,$N40,TRUE)</f>
        <v>195.28897058823486</v>
      </c>
      <c r="I40" s="114">
        <f>GROWTH($C$40:$C$55,$N$40:$N$55,$N40,TRUE)</f>
        <v>195.31367770151434</v>
      </c>
      <c r="J40" s="102"/>
      <c r="K40" s="102"/>
      <c r="L40" s="102"/>
      <c r="M40" s="2"/>
      <c r="N40" s="12">
        <f t="shared" si="2"/>
        <v>2018.25</v>
      </c>
    </row>
    <row r="41" spans="1:14" x14ac:dyDescent="0.2">
      <c r="A41" s="12" t="str">
        <f t="shared" si="1"/>
        <v>6/30/2018</v>
      </c>
      <c r="B41" s="22"/>
      <c r="C41" s="329">
        <f>[3]CPI!H127</f>
        <v>195.27</v>
      </c>
      <c r="D41" s="114">
        <f t="shared" si="3"/>
        <v>194.96013613159403</v>
      </c>
      <c r="E41" s="114">
        <f t="shared" si="4"/>
        <v>194.89531375633862</v>
      </c>
      <c r="F41" s="114">
        <f t="shared" si="5"/>
        <v>195.46781954887228</v>
      </c>
      <c r="G41" s="114">
        <f t="shared" si="6"/>
        <v>195.46271519274222</v>
      </c>
      <c r="H41" s="114">
        <f t="shared" ref="H41:H54" si="7">TREND($C$40:$C$55,$N$40:$N$55,$N41,TRUE)</f>
        <v>195.62719117647021</v>
      </c>
      <c r="I41" s="114">
        <f t="shared" ref="I41:I54" si="8">GROWTH($C$40:$C$55,$N$40:$N$55,$N41,TRUE)</f>
        <v>195.64359586660206</v>
      </c>
      <c r="J41" s="50"/>
      <c r="K41" s="58"/>
      <c r="L41" s="58"/>
      <c r="M41" s="2"/>
      <c r="N41" s="12">
        <f t="shared" si="2"/>
        <v>2018.5</v>
      </c>
    </row>
    <row r="42" spans="1:14" x14ac:dyDescent="0.2">
      <c r="A42" s="12" t="str">
        <f t="shared" si="1"/>
        <v>9/30/2018</v>
      </c>
      <c r="C42" s="329">
        <f>[3]CPI!H128</f>
        <v>195.59</v>
      </c>
      <c r="D42" s="114">
        <f t="shared" si="3"/>
        <v>195.42697026172937</v>
      </c>
      <c r="E42" s="114">
        <f t="shared" si="4"/>
        <v>195.37060234673186</v>
      </c>
      <c r="F42" s="114">
        <f t="shared" si="5"/>
        <v>195.82352631578942</v>
      </c>
      <c r="G42" s="114">
        <f t="shared" si="6"/>
        <v>195.81291354306975</v>
      </c>
      <c r="H42" s="114">
        <f t="shared" si="7"/>
        <v>195.96541176470555</v>
      </c>
      <c r="I42" s="114">
        <f t="shared" si="8"/>
        <v>195.97407131982681</v>
      </c>
      <c r="J42" s="114"/>
      <c r="K42" s="114"/>
      <c r="L42" s="114"/>
      <c r="M42" s="2"/>
      <c r="N42" s="12">
        <f t="shared" si="2"/>
        <v>2018.75</v>
      </c>
    </row>
    <row r="43" spans="1:14" x14ac:dyDescent="0.2">
      <c r="A43" s="12" t="str">
        <f t="shared" si="1"/>
        <v>12/31/2018</v>
      </c>
      <c r="B43" s="109"/>
      <c r="C43" s="329">
        <f>[3]CPI!H129</f>
        <v>196.2</v>
      </c>
      <c r="D43" s="114">
        <f t="shared" si="3"/>
        <v>195.89380439186471</v>
      </c>
      <c r="E43" s="114">
        <f t="shared" si="4"/>
        <v>195.84705001704313</v>
      </c>
      <c r="F43" s="114">
        <f t="shared" si="5"/>
        <v>196.17923308270656</v>
      </c>
      <c r="G43" s="114">
        <f t="shared" si="6"/>
        <v>196.16373932192988</v>
      </c>
      <c r="H43" s="114">
        <f t="shared" si="7"/>
        <v>196.30363235294089</v>
      </c>
      <c r="I43" s="114">
        <f t="shared" si="8"/>
        <v>196.30510500254414</v>
      </c>
      <c r="J43" s="114"/>
      <c r="K43" s="114"/>
      <c r="L43" s="114"/>
      <c r="M43" s="2"/>
      <c r="N43" s="12">
        <f t="shared" si="2"/>
        <v>2019</v>
      </c>
    </row>
    <row r="44" spans="1:14" x14ac:dyDescent="0.2">
      <c r="A44" s="12" t="str">
        <f t="shared" si="1"/>
        <v>3/31/2019</v>
      </c>
      <c r="C44" s="329">
        <f>[3]CPI!H130</f>
        <v>197.06</v>
      </c>
      <c r="D44" s="114">
        <f t="shared" si="3"/>
        <v>196.36063852200004</v>
      </c>
      <c r="E44" s="114">
        <f t="shared" si="4"/>
        <v>196.32465959390373</v>
      </c>
      <c r="F44" s="114">
        <f>TREND($C$36:$C$55,$N$36:$N$55,$N44,TRUE)</f>
        <v>196.53493984962415</v>
      </c>
      <c r="G44" s="114">
        <f t="shared" si="6"/>
        <v>196.51519365344717</v>
      </c>
      <c r="H44" s="114">
        <f t="shared" si="7"/>
        <v>196.64185294117624</v>
      </c>
      <c r="I44" s="114">
        <f t="shared" si="8"/>
        <v>196.63669785769841</v>
      </c>
      <c r="J44" s="114">
        <f>TREND($C$44:$C$55,$N$44:$N$55,$N44,TRUE)</f>
        <v>197.22230769230737</v>
      </c>
      <c r="K44" s="114">
        <f>GROWTH($C$44:$C$55,$N$44:$N$55,$N44,TRUE)</f>
        <v>197.24348852463936</v>
      </c>
      <c r="L44" s="114"/>
      <c r="M44" s="2"/>
      <c r="N44" s="12">
        <f t="shared" si="2"/>
        <v>2019.25</v>
      </c>
    </row>
    <row r="45" spans="1:14" x14ac:dyDescent="0.2">
      <c r="A45" s="12" t="str">
        <f t="shared" si="1"/>
        <v>6/30/2019</v>
      </c>
      <c r="C45" s="329">
        <f>[3]CPI!H131</f>
        <v>198.22</v>
      </c>
      <c r="D45" s="114">
        <f>TREND($C$14:$C$55,$N$14:$N$55,$N45,TRUE)</f>
        <v>196.82747265213538</v>
      </c>
      <c r="E45" s="114">
        <f t="shared" si="4"/>
        <v>196.80343391084094</v>
      </c>
      <c r="F45" s="114">
        <f t="shared" si="5"/>
        <v>196.89064661654129</v>
      </c>
      <c r="G45" s="114">
        <f t="shared" si="6"/>
        <v>196.86727766376021</v>
      </c>
      <c r="H45" s="114">
        <f t="shared" si="7"/>
        <v>196.98007352941158</v>
      </c>
      <c r="I45" s="114">
        <f t="shared" si="8"/>
        <v>196.9688508298276</v>
      </c>
      <c r="J45" s="114">
        <f t="shared" ref="J45:J54" si="9">TREND($C$44:$C$55,$N$44:$N$55,$N45,TRUE)</f>
        <v>197.47643356643357</v>
      </c>
      <c r="K45" s="114">
        <f t="shared" ref="K45:K54" si="10">GROWTH($C$44:$C$55,$N$44:$N$55,$N45,TRUE)</f>
        <v>197.48846861665979</v>
      </c>
      <c r="L45" s="114"/>
      <c r="M45" s="2"/>
      <c r="N45" s="12">
        <f t="shared" si="2"/>
        <v>2019.5</v>
      </c>
    </row>
    <row r="46" spans="1:14" x14ac:dyDescent="0.2">
      <c r="A46" s="12" t="str">
        <f t="shared" si="1"/>
        <v>9/30/2019</v>
      </c>
      <c r="C46" s="329">
        <f>[3]CPI!H132</f>
        <v>199.74</v>
      </c>
      <c r="D46" s="114">
        <f t="shared" si="3"/>
        <v>197.29430678227072</v>
      </c>
      <c r="E46" s="114">
        <f>GROWTH($C$14:$C$55,$N$14:$N$55,$N46,TRUE)</f>
        <v>197.28337580828941</v>
      </c>
      <c r="F46" s="114">
        <f t="shared" si="5"/>
        <v>197.24635338345843</v>
      </c>
      <c r="G46" s="114">
        <f t="shared" si="6"/>
        <v>197.21999248102514</v>
      </c>
      <c r="H46" s="114">
        <f t="shared" si="7"/>
        <v>197.31829411764693</v>
      </c>
      <c r="I46" s="114">
        <f t="shared" si="8"/>
        <v>197.30156486506542</v>
      </c>
      <c r="J46" s="114">
        <f t="shared" si="9"/>
        <v>197.73055944055932</v>
      </c>
      <c r="K46" s="114">
        <f t="shared" si="10"/>
        <v>197.73375297852456</v>
      </c>
      <c r="L46" s="114"/>
      <c r="M46" s="2"/>
      <c r="N46" s="12">
        <f t="shared" si="2"/>
        <v>2019.75</v>
      </c>
    </row>
    <row r="47" spans="1:14" x14ac:dyDescent="0.2">
      <c r="A47" s="12" t="str">
        <f t="shared" si="1"/>
        <v>12/31/2019</v>
      </c>
      <c r="C47" s="329">
        <f>[3]CPI!H133</f>
        <v>200.26</v>
      </c>
      <c r="D47" s="114">
        <f t="shared" si="3"/>
        <v>197.76114091240561</v>
      </c>
      <c r="E47" s="114">
        <f t="shared" si="4"/>
        <v>197.76448813361347</v>
      </c>
      <c r="F47" s="114">
        <f t="shared" si="5"/>
        <v>197.60206015037602</v>
      </c>
      <c r="G47" s="114">
        <f t="shared" si="6"/>
        <v>197.5733392354195</v>
      </c>
      <c r="H47" s="114">
        <f t="shared" si="7"/>
        <v>197.65651470588227</v>
      </c>
      <c r="I47" s="114">
        <f t="shared" si="8"/>
        <v>197.63484091114259</v>
      </c>
      <c r="J47" s="114">
        <f t="shared" si="9"/>
        <v>197.98468531468507</v>
      </c>
      <c r="K47" s="114">
        <f t="shared" si="10"/>
        <v>197.97934198814184</v>
      </c>
      <c r="L47" s="114"/>
      <c r="M47" s="2"/>
      <c r="N47" s="12">
        <f t="shared" si="2"/>
        <v>2020</v>
      </c>
    </row>
    <row r="48" spans="1:14" x14ac:dyDescent="0.2">
      <c r="A48" s="12" t="str">
        <f t="shared" si="1"/>
        <v>3/31/2020</v>
      </c>
      <c r="B48" s="109"/>
      <c r="C48" s="329">
        <f>[3]CPI!H134</f>
        <v>199.74</v>
      </c>
      <c r="D48" s="114">
        <f t="shared" si="3"/>
        <v>198.22797504254095</v>
      </c>
      <c r="E48" s="114">
        <f t="shared" si="4"/>
        <v>198.24677374111855</v>
      </c>
      <c r="F48" s="114">
        <f t="shared" si="5"/>
        <v>197.95776691729316</v>
      </c>
      <c r="G48" s="114">
        <f t="shared" si="6"/>
        <v>197.92731905914556</v>
      </c>
      <c r="H48" s="114">
        <f t="shared" si="7"/>
        <v>197.99473529411716</v>
      </c>
      <c r="I48" s="114">
        <f t="shared" si="8"/>
        <v>197.96867991739205</v>
      </c>
      <c r="J48" s="114">
        <f>TREND($C$44:$C$55,$N$44:$N$55,$N48,TRUE)</f>
        <v>198.23881118881081</v>
      </c>
      <c r="K48" s="114">
        <f t="shared" si="10"/>
        <v>198.22523602389049</v>
      </c>
      <c r="L48" s="114"/>
      <c r="M48" s="2"/>
      <c r="N48" s="12">
        <f t="shared" si="2"/>
        <v>2020.25</v>
      </c>
    </row>
    <row r="49" spans="1:14" x14ac:dyDescent="0.2">
      <c r="A49" s="12" t="str">
        <f t="shared" si="1"/>
        <v>6/30/2020</v>
      </c>
      <c r="C49" s="329">
        <f>[3]CPI!H135</f>
        <v>197.71</v>
      </c>
      <c r="D49" s="114">
        <f t="shared" si="3"/>
        <v>198.69480917267629</v>
      </c>
      <c r="E49" s="114">
        <f t="shared" si="4"/>
        <v>198.73023549207355</v>
      </c>
      <c r="F49" s="114">
        <f t="shared" si="5"/>
        <v>198.31347368421029</v>
      </c>
      <c r="G49" s="114">
        <f t="shared" si="6"/>
        <v>198.28193308643452</v>
      </c>
      <c r="H49" s="114">
        <f t="shared" si="7"/>
        <v>198.33295588235251</v>
      </c>
      <c r="I49" s="114">
        <f t="shared" si="8"/>
        <v>198.30308283474906</v>
      </c>
      <c r="J49" s="114">
        <f t="shared" si="9"/>
        <v>198.49293706293702</v>
      </c>
      <c r="K49" s="114">
        <f t="shared" si="10"/>
        <v>198.47143546461797</v>
      </c>
      <c r="L49" s="114"/>
      <c r="M49" s="2"/>
      <c r="N49" s="12">
        <f t="shared" si="2"/>
        <v>2020.5</v>
      </c>
    </row>
    <row r="50" spans="1:14" x14ac:dyDescent="0.2">
      <c r="A50" s="12" t="str">
        <f t="shared" si="1"/>
        <v>9/30/2020</v>
      </c>
      <c r="C50" s="329">
        <f>[3]CPI!H136</f>
        <v>195.95</v>
      </c>
      <c r="D50" s="114">
        <f t="shared" si="3"/>
        <v>199.16164330281163</v>
      </c>
      <c r="E50" s="114">
        <f t="shared" si="4"/>
        <v>199.2148762547223</v>
      </c>
      <c r="F50" s="114">
        <f t="shared" si="5"/>
        <v>198.66918045112789</v>
      </c>
      <c r="G50" s="114">
        <f t="shared" si="6"/>
        <v>198.6371824535486</v>
      </c>
      <c r="H50" s="114">
        <f t="shared" si="7"/>
        <v>198.67117647058785</v>
      </c>
      <c r="I50" s="114">
        <f t="shared" si="8"/>
        <v>198.6380506157565</v>
      </c>
      <c r="J50" s="114">
        <f t="shared" si="9"/>
        <v>198.74706293706276</v>
      </c>
      <c r="K50" s="114">
        <f t="shared" si="10"/>
        <v>198.71794068964365</v>
      </c>
      <c r="L50" s="114"/>
      <c r="M50" s="2"/>
      <c r="N50" s="12">
        <f t="shared" si="2"/>
        <v>2020.75</v>
      </c>
    </row>
    <row r="51" spans="1:14" x14ac:dyDescent="0.2">
      <c r="A51" s="12" t="str">
        <f t="shared" si="1"/>
        <v>12/31/2020</v>
      </c>
      <c r="C51" s="329">
        <f>[3]CPI!H137</f>
        <v>194.81</v>
      </c>
      <c r="D51" s="114">
        <f t="shared" si="3"/>
        <v>199.62847743294697</v>
      </c>
      <c r="E51" s="114">
        <f t="shared" si="4"/>
        <v>199.70069890430634</v>
      </c>
      <c r="F51" s="114">
        <f t="shared" si="5"/>
        <v>199.02488721804502</v>
      </c>
      <c r="G51" s="114">
        <f t="shared" si="6"/>
        <v>198.99306829878688</v>
      </c>
      <c r="H51" s="114">
        <f t="shared" si="7"/>
        <v>199.0093970588232</v>
      </c>
      <c r="I51" s="114">
        <f t="shared" si="8"/>
        <v>198.97358421456482</v>
      </c>
      <c r="J51" s="114">
        <f t="shared" si="9"/>
        <v>199.00118881118851</v>
      </c>
      <c r="K51" s="114">
        <f t="shared" si="10"/>
        <v>198.96475207875662</v>
      </c>
      <c r="L51" s="114"/>
      <c r="M51" s="2"/>
      <c r="N51" s="12">
        <f t="shared" si="2"/>
        <v>2021</v>
      </c>
    </row>
    <row r="52" spans="1:14" x14ac:dyDescent="0.2">
      <c r="A52" s="12" t="str">
        <f t="shared" si="1"/>
        <v>3/31/2021</v>
      </c>
      <c r="C52" s="329">
        <f>[3]CPI!H138</f>
        <v>194.38</v>
      </c>
      <c r="D52" s="114">
        <f t="shared" si="3"/>
        <v>200.0953115630823</v>
      </c>
      <c r="E52" s="114">
        <f t="shared" si="4"/>
        <v>200.18770632307667</v>
      </c>
      <c r="F52" s="114">
        <f t="shared" si="5"/>
        <v>199.38059398496216</v>
      </c>
      <c r="G52" s="114">
        <f t="shared" si="6"/>
        <v>199.34959176248753</v>
      </c>
      <c r="H52" s="114">
        <f t="shared" si="7"/>
        <v>199.34761764705854</v>
      </c>
      <c r="I52" s="114">
        <f t="shared" si="8"/>
        <v>199.30968458693732</v>
      </c>
      <c r="J52" s="114">
        <f t="shared" si="9"/>
        <v>199.25531468531426</v>
      </c>
      <c r="K52" s="114">
        <f>GROWTH($C$44:$C$55,$N$44:$N$55,$N52,TRUE)</f>
        <v>199.21187001221915</v>
      </c>
      <c r="L52" s="114"/>
      <c r="M52" s="2"/>
      <c r="N52" s="12">
        <f t="shared" si="2"/>
        <v>2021.25</v>
      </c>
    </row>
    <row r="53" spans="1:14" x14ac:dyDescent="0.2">
      <c r="A53" s="12" t="str">
        <f t="shared" si="1"/>
        <v>6/30/2021</v>
      </c>
      <c r="C53" s="329">
        <f>[3]CPI!H139</f>
        <v>197.57</v>
      </c>
      <c r="D53" s="114">
        <f t="shared" si="3"/>
        <v>200.56214569321764</v>
      </c>
      <c r="E53" s="114">
        <f t="shared" si="4"/>
        <v>200.67590140031336</v>
      </c>
      <c r="F53" s="114">
        <f t="shared" si="5"/>
        <v>199.73630075187975</v>
      </c>
      <c r="G53" s="114">
        <f t="shared" si="6"/>
        <v>199.70675398703173</v>
      </c>
      <c r="H53" s="114">
        <f t="shared" si="7"/>
        <v>199.68583823529389</v>
      </c>
      <c r="I53" s="114">
        <f t="shared" si="8"/>
        <v>199.64635269025175</v>
      </c>
      <c r="J53" s="114">
        <f t="shared" si="9"/>
        <v>199.50944055944046</v>
      </c>
      <c r="K53" s="114">
        <f t="shared" si="10"/>
        <v>199.45929487076424</v>
      </c>
      <c r="L53" s="161"/>
      <c r="M53" s="2"/>
      <c r="N53" s="12">
        <f t="shared" si="2"/>
        <v>2021.5</v>
      </c>
    </row>
    <row r="54" spans="1:14" x14ac:dyDescent="0.2">
      <c r="A54" s="12" t="str">
        <f>TEXT(DATE(YEAR(A55+1),MONTH(A55+1)-3,1)-1,"m/d/yyyy")</f>
        <v>9/30/2021</v>
      </c>
      <c r="C54" s="329">
        <f>[3]CPI!H140</f>
        <v>201.27</v>
      </c>
      <c r="D54" s="114">
        <f t="shared" si="3"/>
        <v>201.02897982335298</v>
      </c>
      <c r="E54" s="114">
        <f t="shared" si="4"/>
        <v>201.16528703234471</v>
      </c>
      <c r="F54" s="114">
        <f t="shared" si="5"/>
        <v>200.09200751879689</v>
      </c>
      <c r="G54" s="114">
        <f t="shared" si="6"/>
        <v>200.06455611684746</v>
      </c>
      <c r="H54" s="114">
        <f t="shared" si="7"/>
        <v>200.02405882352923</v>
      </c>
      <c r="I54" s="114">
        <f t="shared" si="8"/>
        <v>199.98358948350187</v>
      </c>
      <c r="J54" s="114">
        <f t="shared" si="9"/>
        <v>199.76356643356621</v>
      </c>
      <c r="K54" s="114">
        <f t="shared" si="10"/>
        <v>199.70702703559937</v>
      </c>
      <c r="L54"/>
      <c r="M54" s="2"/>
      <c r="N54" s="12">
        <f t="shared" si="2"/>
        <v>2021.75</v>
      </c>
    </row>
    <row r="55" spans="1:14" x14ac:dyDescent="0.2">
      <c r="A55" s="12" t="str">
        <f>TEXT($N$9,"m/d/yyyy")</f>
        <v>12/31/2021</v>
      </c>
      <c r="C55" s="329">
        <f>[3]CPI!H141</f>
        <v>206.73</v>
      </c>
      <c r="D55" s="114">
        <f>TREND($C$14:$C$55,$N$14:$N$55,$N55,TRUE)</f>
        <v>201.49581395348832</v>
      </c>
      <c r="E55" s="114">
        <f t="shared" si="4"/>
        <v>201.65586612255919</v>
      </c>
      <c r="F55" s="114">
        <f>TREND($C$36:$C$55,$N$36:$N$55,$N55,TRUE)</f>
        <v>200.44771428571403</v>
      </c>
      <c r="G55" s="114">
        <f>GROWTH($C$36:$C$55,$N$36:$N$55,$N55,TRUE)</f>
        <v>200.42299929841298</v>
      </c>
      <c r="H55" s="114">
        <f>TREND($C$40:$C$55,$N$40:$N$55,$N55,TRUE)</f>
        <v>200.36227941176458</v>
      </c>
      <c r="I55" s="114">
        <f>GROWTH($C$40:$C$55,$N$40:$N$55,$N55,TRUE)</f>
        <v>200.32139592730289</v>
      </c>
      <c r="J55" s="114">
        <f>TREND($C$44:$C$55,$N$44:$N$55,$N55,TRUE)</f>
        <v>200.01769230769196</v>
      </c>
      <c r="K55" s="114">
        <f>GROWTH($C$44:$C$55,$N$44:$N$55,$N55,TRUE)</f>
        <v>199.95506688840393</v>
      </c>
      <c r="L55"/>
      <c r="M55" s="2"/>
      <c r="N55" s="12">
        <f t="shared" si="2"/>
        <v>2022</v>
      </c>
    </row>
    <row r="56" spans="1:14" x14ac:dyDescent="0.2">
      <c r="A56" s="163"/>
      <c r="B56" s="9"/>
      <c r="C56" s="182"/>
      <c r="D56" s="116"/>
      <c r="E56" s="116"/>
      <c r="F56" s="116"/>
      <c r="G56" s="116"/>
      <c r="H56" s="116"/>
      <c r="I56" s="116"/>
      <c r="J56" s="116"/>
      <c r="K56" s="116"/>
      <c r="L56"/>
      <c r="M56" s="2"/>
    </row>
    <row r="57" spans="1:14" x14ac:dyDescent="0.2">
      <c r="A57" s="50"/>
      <c r="B57" s="104"/>
      <c r="C57" s="50"/>
      <c r="D57" s="50"/>
      <c r="E57" s="50"/>
      <c r="F57" s="50"/>
      <c r="G57" s="50"/>
      <c r="H57" s="50"/>
      <c r="I57" s="98"/>
      <c r="J57" s="50"/>
      <c r="K57" s="50"/>
      <c r="L57" s="50"/>
      <c r="M57" s="2"/>
    </row>
    <row r="58" spans="1:14" x14ac:dyDescent="0.2">
      <c r="A58" s="12" t="s">
        <v>260</v>
      </c>
      <c r="C58"/>
      <c r="D58" s="20">
        <f>(D55-D51)/D55</f>
        <v>9.267371286295796E-3</v>
      </c>
      <c r="E58" s="20">
        <f>LOGEST($C$14:$C$55,$N$14:$N$55,TRUE,TRUE)-1</f>
        <v>9.7904876096093219E-3</v>
      </c>
      <c r="F58" s="20">
        <f>(F55-F51)/F55</f>
        <v>7.0982454089795017E-3</v>
      </c>
      <c r="G58" s="20">
        <f>LOGEST($C$36:$C$55,$N$36:$N$55,TRUE,TRUE)-1</f>
        <v>7.1858332144476567E-3</v>
      </c>
      <c r="H58" s="20">
        <f>(H55-H51)/H55</f>
        <v>6.7521808841127708E-3</v>
      </c>
      <c r="I58" s="20">
        <f>LOGEST($C$40:$C$55,$N$40:$N$55,TRUE,TRUE)-1</f>
        <v>6.7738223546525145E-3</v>
      </c>
      <c r="J58" s="20">
        <f>(J55-J51)/J55</f>
        <v>5.0820679149709167E-3</v>
      </c>
      <c r="K58" s="20">
        <f>LOGEST($C$44:$C$55,$N$44:$N$55,TRUE,TRUE)-1</f>
        <v>4.9773379420252617E-3</v>
      </c>
      <c r="L58" s="20"/>
      <c r="M58" s="2"/>
    </row>
    <row r="59" spans="1:14" x14ac:dyDescent="0.2">
      <c r="A59" s="117" t="s">
        <v>261</v>
      </c>
      <c r="B59" s="109"/>
      <c r="C59" s="100"/>
      <c r="D59" s="101">
        <f>INDEX(LINEST($C$14:$C$55,$N$14:$N$55,TRUE,TRUE),3,1)</f>
        <v>0.9089063345400521</v>
      </c>
      <c r="E59" s="101">
        <f>INDEX(LOGEST($C$14:$C$55,$N$14:$N$55,TRUE,TRUE),3,1)</f>
        <v>0.91177370524900803</v>
      </c>
      <c r="F59" s="101">
        <f>INDEX(LINEST($C$36:$C$55,$N$36:$N$55,TRUE,TRUE),3,1)</f>
        <v>0.42175587257734387</v>
      </c>
      <c r="G59" s="101">
        <f>INDEX(LOGEST($C$36:$C$55,$N$36:$N$55,TRUE,TRUE),3,1)</f>
        <v>0.42386144894156791</v>
      </c>
      <c r="H59" s="101">
        <f>INDEX(LINEST($C$40:$C$55,$N$40:$N$55,TRUE,TRUE),3,1)</f>
        <v>0.25322855819080797</v>
      </c>
      <c r="I59" s="101">
        <f>INDEX(LOGEST($C$40:$C$55,$N$40:$N$55,TRUE,TRUE),3,1)</f>
        <v>0.25181339903532085</v>
      </c>
      <c r="J59" s="101">
        <f>INDEX(LINEST($C$44:$C$55,$N$44:$N$55,TRUE,TRUE),3,1)</f>
        <v>7.5609541408567987E-2</v>
      </c>
      <c r="K59" s="101">
        <f>INDEX(LOGEST($C$44:$C$55,$N$44:$N$55,TRUE,TRUE),3,1)</f>
        <v>7.2299828369397717E-2</v>
      </c>
      <c r="L59" s="101"/>
      <c r="M59" s="2"/>
    </row>
    <row r="60" spans="1:14" ht="10.5" thickBo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50"/>
      <c r="M60" s="2"/>
    </row>
    <row r="61" spans="1:14" ht="10.5" thickTop="1" x14ac:dyDescent="0.2">
      <c r="A61"/>
      <c r="B61"/>
      <c r="C61"/>
      <c r="D61"/>
      <c r="E61"/>
      <c r="F61"/>
      <c r="G61"/>
      <c r="H61"/>
      <c r="I61" s="50"/>
      <c r="J61"/>
      <c r="K61" s="50"/>
      <c r="L61" s="50"/>
      <c r="M61" s="2"/>
    </row>
    <row r="62" spans="1:14" x14ac:dyDescent="0.2">
      <c r="A62" t="s">
        <v>17</v>
      </c>
      <c r="B62"/>
      <c r="F62"/>
      <c r="G62"/>
      <c r="H62"/>
      <c r="I62"/>
      <c r="J62"/>
      <c r="K62"/>
      <c r="L62"/>
      <c r="M62" s="2"/>
    </row>
    <row r="63" spans="1:14" x14ac:dyDescent="0.2">
      <c r="A63"/>
      <c r="B63" s="22" t="str">
        <f>C12&amp;" = Weighted average of CPI for Lodging, Apparel, Furnishings, and Medical Care"</f>
        <v>(2) = Weighted average of CPI for Lodging, Apparel, Furnishings, and Medical Care</v>
      </c>
      <c r="C63"/>
      <c r="D63"/>
      <c r="E63"/>
      <c r="F63"/>
      <c r="H63"/>
      <c r="J63"/>
      <c r="K63"/>
      <c r="L63"/>
      <c r="M63" s="2"/>
    </row>
    <row r="64" spans="1:14" x14ac:dyDescent="0.2">
      <c r="A64"/>
      <c r="B64" s="22" t="str">
        <f>D12&amp;" - "&amp;K12&amp;" = "&amp;C12&amp;" fitted to linear and exponential distributions"</f>
        <v>(3) - (10) = (2) fitted to linear and exponential distributions</v>
      </c>
      <c r="D64"/>
      <c r="E64"/>
      <c r="F64"/>
      <c r="H64"/>
      <c r="J64"/>
      <c r="K64"/>
      <c r="L64"/>
      <c r="M64" s="2"/>
    </row>
    <row r="65" spans="1:13" x14ac:dyDescent="0.2">
      <c r="A65"/>
      <c r="B65" s="22"/>
      <c r="D65"/>
      <c r="E65"/>
      <c r="F65"/>
      <c r="H65"/>
      <c r="J65"/>
      <c r="K65"/>
      <c r="L65"/>
      <c r="M65" s="2"/>
    </row>
    <row r="66" spans="1:13" x14ac:dyDescent="0.2">
      <c r="A66"/>
      <c r="B66" s="22"/>
      <c r="D66"/>
      <c r="E66"/>
      <c r="F66"/>
      <c r="H66"/>
      <c r="J66"/>
      <c r="K66"/>
      <c r="L66"/>
      <c r="M66" s="2"/>
    </row>
    <row r="67" spans="1:13" x14ac:dyDescent="0.2">
      <c r="A67"/>
      <c r="B67" s="22"/>
      <c r="D67"/>
      <c r="E67"/>
      <c r="F67"/>
      <c r="H67"/>
      <c r="J67"/>
      <c r="K67"/>
      <c r="L67"/>
      <c r="M67" s="2"/>
    </row>
    <row r="68" spans="1:13" x14ac:dyDescent="0.2">
      <c r="A68"/>
      <c r="B68" s="22"/>
      <c r="D68"/>
      <c r="E68"/>
      <c r="F68"/>
      <c r="H68"/>
      <c r="J68"/>
      <c r="K68"/>
      <c r="L68"/>
      <c r="M68" s="2"/>
    </row>
    <row r="69" spans="1:13" ht="10.5" thickBot="1" x14ac:dyDescent="0.25">
      <c r="A69" s="117"/>
      <c r="B69" s="109"/>
      <c r="C69" s="100"/>
      <c r="D69" s="101"/>
      <c r="E69" s="101"/>
      <c r="F69" s="101"/>
      <c r="G69" s="101"/>
      <c r="H69" s="101"/>
      <c r="I69" s="101"/>
      <c r="J69" s="101"/>
      <c r="K69" s="101"/>
      <c r="L69" s="101"/>
      <c r="M69" s="2"/>
    </row>
    <row r="70" spans="1:13" ht="10.5" thickBot="1" x14ac:dyDescent="0.25">
      <c r="A70" s="4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3"/>
    </row>
  </sheetData>
  <phoneticPr fontId="4" type="noConversion"/>
  <pageMargins left="0.5" right="0.5" top="0.5" bottom="0.5" header="0.5" footer="0.5"/>
  <pageSetup orientation="portrait" blackAndWhite="1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1">
    <tabColor rgb="FF92D050"/>
  </sheetPr>
  <dimension ref="A1:O73"/>
  <sheetViews>
    <sheetView showGridLines="0" workbookViewId="0">
      <selection activeCell="G9" sqref="G9"/>
    </sheetView>
  </sheetViews>
  <sheetFormatPr defaultColWidth="11.33203125" defaultRowHeight="10" x14ac:dyDescent="0.2"/>
  <cols>
    <col min="1" max="1" width="5.109375" bestFit="1" customWidth="1"/>
    <col min="2" max="2" width="16.6640625" customWidth="1"/>
    <col min="3" max="6" width="15.33203125" customWidth="1"/>
    <col min="7" max="9" width="11.33203125" customWidth="1"/>
    <col min="10" max="10" width="4" customWidth="1"/>
  </cols>
  <sheetData>
    <row r="1" spans="1:15" ht="10.5" x14ac:dyDescent="0.25">
      <c r="A1" s="8" t="str">
        <f>'1'!$A$1</f>
        <v>Texas Windstorm Insurance Association</v>
      </c>
      <c r="B1" s="12"/>
      <c r="J1" s="7" t="s">
        <v>75</v>
      </c>
      <c r="K1" s="1"/>
      <c r="N1" t="s">
        <v>428</v>
      </c>
      <c r="O1" t="s">
        <v>449</v>
      </c>
    </row>
    <row r="2" spans="1:15" ht="10.5" x14ac:dyDescent="0.25">
      <c r="A2" s="8" t="str">
        <f>'1'!$A$2</f>
        <v>Residential Property - Wind &amp; Hail</v>
      </c>
      <c r="B2" s="12"/>
      <c r="J2" s="7" t="s">
        <v>21</v>
      </c>
      <c r="K2" s="2"/>
      <c r="N2" t="s">
        <v>428</v>
      </c>
      <c r="O2" t="s">
        <v>450</v>
      </c>
    </row>
    <row r="3" spans="1:15" ht="10.5" x14ac:dyDescent="0.25">
      <c r="A3" s="8" t="str">
        <f>'1'!$A$3</f>
        <v>Rate Level Review</v>
      </c>
      <c r="B3" s="12"/>
      <c r="K3" s="2"/>
      <c r="N3" t="s">
        <v>428</v>
      </c>
      <c r="O3" t="s">
        <v>451</v>
      </c>
    </row>
    <row r="4" spans="1:15" x14ac:dyDescent="0.2">
      <c r="A4" t="s">
        <v>76</v>
      </c>
      <c r="B4" s="12"/>
      <c r="K4" s="2"/>
      <c r="N4" t="s">
        <v>428</v>
      </c>
      <c r="O4" t="s">
        <v>452</v>
      </c>
    </row>
    <row r="5" spans="1:15" x14ac:dyDescent="0.2">
      <c r="B5" s="12"/>
      <c r="K5" s="2"/>
    </row>
    <row r="6" spans="1:15" x14ac:dyDescent="0.2">
      <c r="K6" s="2"/>
    </row>
    <row r="7" spans="1:15" ht="10.5" thickBot="1" x14ac:dyDescent="0.25">
      <c r="A7" s="6"/>
      <c r="B7" s="6"/>
      <c r="C7" s="6"/>
      <c r="D7" s="6"/>
      <c r="E7" s="6"/>
      <c r="F7" s="6"/>
      <c r="K7" s="2"/>
    </row>
    <row r="8" spans="1:15" ht="10.5" thickTop="1" x14ac:dyDescent="0.2">
      <c r="K8" s="2"/>
    </row>
    <row r="9" spans="1:15" x14ac:dyDescent="0.2">
      <c r="C9" s="22" t="s">
        <v>40</v>
      </c>
      <c r="D9" t="s">
        <v>40</v>
      </c>
      <c r="E9" t="s">
        <v>35</v>
      </c>
      <c r="K9" s="2"/>
      <c r="L9" s="27"/>
    </row>
    <row r="10" spans="1:15" x14ac:dyDescent="0.2">
      <c r="A10" t="s">
        <v>53</v>
      </c>
      <c r="C10" t="s">
        <v>35</v>
      </c>
      <c r="D10" t="s">
        <v>35</v>
      </c>
      <c r="E10" t="s">
        <v>77</v>
      </c>
      <c r="F10" t="s">
        <v>6</v>
      </c>
      <c r="K10" s="2"/>
    </row>
    <row r="11" spans="1:15" x14ac:dyDescent="0.2">
      <c r="A11" s="9" t="s">
        <v>54</v>
      </c>
      <c r="B11" s="9"/>
      <c r="C11" s="9" t="s">
        <v>41</v>
      </c>
      <c r="D11" s="9" t="s">
        <v>36</v>
      </c>
      <c r="E11" s="9" t="s">
        <v>78</v>
      </c>
      <c r="F11" s="9" t="s">
        <v>79</v>
      </c>
      <c r="K11" s="2"/>
    </row>
    <row r="12" spans="1:15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K12" s="2"/>
    </row>
    <row r="13" spans="1:15" x14ac:dyDescent="0.2">
      <c r="A13" s="222"/>
      <c r="C13" s="31"/>
      <c r="D13" s="120"/>
      <c r="K13" s="2"/>
    </row>
    <row r="14" spans="1:15" x14ac:dyDescent="0.2">
      <c r="A14" s="262">
        <v>1980</v>
      </c>
      <c r="B14" s="57"/>
      <c r="C14" s="31">
        <f>'4.2'!E14</f>
        <v>12911</v>
      </c>
      <c r="D14" s="120">
        <f>'4.4'!G13</f>
        <v>1318</v>
      </c>
      <c r="E14" s="39">
        <f>ROUND(D14/C14,3)</f>
        <v>0.10199999999999999</v>
      </c>
      <c r="F14" s="38" t="s">
        <v>80</v>
      </c>
      <c r="K14" s="2"/>
    </row>
    <row r="15" spans="1:15" x14ac:dyDescent="0.2">
      <c r="A15" s="59" t="str">
        <f t="shared" ref="A15:A52" si="0">TEXT(A14+1,"#")</f>
        <v>1981</v>
      </c>
      <c r="B15" s="57"/>
      <c r="C15" s="31">
        <f>'4.2'!E15</f>
        <v>2512</v>
      </c>
      <c r="D15" s="120">
        <f>'4.4'!G14</f>
        <v>543</v>
      </c>
      <c r="E15" s="39">
        <f t="shared" ref="E15:E43" si="1">ROUND(D15/C15,3)</f>
        <v>0.216</v>
      </c>
      <c r="F15" s="38"/>
      <c r="K15" s="2"/>
    </row>
    <row r="16" spans="1:15" x14ac:dyDescent="0.2">
      <c r="A16" s="59" t="str">
        <f t="shared" si="0"/>
        <v>1982</v>
      </c>
      <c r="B16" s="57"/>
      <c r="C16" s="31">
        <f>'4.2'!E16</f>
        <v>796</v>
      </c>
      <c r="D16" s="120">
        <f>'4.4'!G15</f>
        <v>565</v>
      </c>
      <c r="E16" s="39">
        <f t="shared" si="1"/>
        <v>0.71</v>
      </c>
      <c r="F16" s="38"/>
      <c r="K16" s="2"/>
    </row>
    <row r="17" spans="1:11" x14ac:dyDescent="0.2">
      <c r="A17" s="59" t="str">
        <f t="shared" si="0"/>
        <v>1983</v>
      </c>
      <c r="B17" s="57"/>
      <c r="C17" s="31">
        <f>'4.2'!E17</f>
        <v>148999</v>
      </c>
      <c r="D17" s="120">
        <f>'4.4'!G16</f>
        <v>9127</v>
      </c>
      <c r="E17" s="39">
        <f t="shared" si="1"/>
        <v>6.0999999999999999E-2</v>
      </c>
      <c r="F17" s="38" t="s">
        <v>80</v>
      </c>
      <c r="K17" s="2"/>
    </row>
    <row r="18" spans="1:11" x14ac:dyDescent="0.2">
      <c r="A18" s="59" t="str">
        <f t="shared" si="0"/>
        <v>1984</v>
      </c>
      <c r="B18" s="57"/>
      <c r="C18" s="31">
        <f>'4.2'!E18</f>
        <v>999</v>
      </c>
      <c r="D18" s="120">
        <f>'4.4'!G17</f>
        <v>324</v>
      </c>
      <c r="E18" s="39">
        <f t="shared" si="1"/>
        <v>0.32400000000000001</v>
      </c>
      <c r="F18" s="38"/>
      <c r="K18" s="2"/>
    </row>
    <row r="19" spans="1:11" x14ac:dyDescent="0.2">
      <c r="A19" s="59" t="str">
        <f t="shared" si="0"/>
        <v>1985</v>
      </c>
      <c r="B19" s="57"/>
      <c r="C19" s="31">
        <f>'4.2'!E19</f>
        <v>512</v>
      </c>
      <c r="D19" s="120">
        <f>'4.4'!G18</f>
        <v>297</v>
      </c>
      <c r="E19" s="39">
        <f t="shared" si="1"/>
        <v>0.57999999999999996</v>
      </c>
      <c r="F19" s="38"/>
      <c r="K19" s="2"/>
    </row>
    <row r="20" spans="1:11" x14ac:dyDescent="0.2">
      <c r="A20" s="59" t="str">
        <f t="shared" si="0"/>
        <v>1986</v>
      </c>
      <c r="B20" s="57"/>
      <c r="C20" s="31">
        <f>'4.2'!E20</f>
        <v>881</v>
      </c>
      <c r="D20" s="120">
        <f>'4.4'!G19</f>
        <v>505</v>
      </c>
      <c r="E20" s="39">
        <f t="shared" si="1"/>
        <v>0.57299999999999995</v>
      </c>
      <c r="F20" s="38" t="s">
        <v>80</v>
      </c>
      <c r="K20" s="2"/>
    </row>
    <row r="21" spans="1:11" x14ac:dyDescent="0.2">
      <c r="A21" s="59" t="str">
        <f t="shared" si="0"/>
        <v>1987</v>
      </c>
      <c r="B21" s="57"/>
      <c r="C21" s="31">
        <f>'4.2'!E21</f>
        <v>1897</v>
      </c>
      <c r="D21" s="120">
        <f>'4.4'!G20</f>
        <v>1056</v>
      </c>
      <c r="E21" s="39">
        <f t="shared" si="1"/>
        <v>0.55700000000000005</v>
      </c>
      <c r="F21" s="38"/>
      <c r="K21" s="2"/>
    </row>
    <row r="22" spans="1:11" x14ac:dyDescent="0.2">
      <c r="A22" s="59" t="str">
        <f t="shared" si="0"/>
        <v>1988</v>
      </c>
      <c r="B22" s="59"/>
      <c r="C22" s="31">
        <f>'4.2'!E22</f>
        <v>1160</v>
      </c>
      <c r="D22" s="120">
        <f>'4.4'!G21</f>
        <v>357</v>
      </c>
      <c r="E22" s="39">
        <f t="shared" si="1"/>
        <v>0.308</v>
      </c>
      <c r="F22" s="27"/>
      <c r="K22" s="2"/>
    </row>
    <row r="23" spans="1:11" x14ac:dyDescent="0.2">
      <c r="A23" s="59" t="str">
        <f t="shared" si="0"/>
        <v>1989</v>
      </c>
      <c r="B23" s="59"/>
      <c r="C23" s="31">
        <f>'4.2'!E23</f>
        <v>12296</v>
      </c>
      <c r="D23" s="120">
        <f>'4.4'!G22</f>
        <v>3528</v>
      </c>
      <c r="E23" s="39">
        <f t="shared" si="1"/>
        <v>0.28699999999999998</v>
      </c>
      <c r="F23" s="27" t="s">
        <v>80</v>
      </c>
      <c r="K23" s="2"/>
    </row>
    <row r="24" spans="1:11" x14ac:dyDescent="0.2">
      <c r="A24" s="59" t="str">
        <f t="shared" si="0"/>
        <v>1990</v>
      </c>
      <c r="B24" s="59"/>
      <c r="C24" s="31">
        <f>'4.2'!E24</f>
        <v>335</v>
      </c>
      <c r="D24" s="120">
        <f>'4.4'!G23</f>
        <v>225</v>
      </c>
      <c r="E24" s="39">
        <f t="shared" si="1"/>
        <v>0.67200000000000004</v>
      </c>
      <c r="F24" s="27"/>
      <c r="K24" s="2"/>
    </row>
    <row r="25" spans="1:11" x14ac:dyDescent="0.2">
      <c r="A25" s="59" t="str">
        <f t="shared" si="0"/>
        <v>1991</v>
      </c>
      <c r="B25" s="59"/>
      <c r="C25" s="31">
        <f>'4.2'!E25</f>
        <v>1217</v>
      </c>
      <c r="D25" s="120">
        <f>'4.4'!G24</f>
        <v>729</v>
      </c>
      <c r="E25" s="39">
        <f t="shared" si="1"/>
        <v>0.59899999999999998</v>
      </c>
      <c r="F25" s="27"/>
      <c r="K25" s="2"/>
    </row>
    <row r="26" spans="1:11" x14ac:dyDescent="0.2">
      <c r="A26" s="59" t="str">
        <f t="shared" si="0"/>
        <v>1992</v>
      </c>
      <c r="B26" s="59"/>
      <c r="C26" s="31">
        <f>'4.2'!E26</f>
        <v>489</v>
      </c>
      <c r="D26" s="120">
        <f>'4.4'!G25</f>
        <v>554</v>
      </c>
      <c r="E26" s="39">
        <f t="shared" si="1"/>
        <v>1.133</v>
      </c>
      <c r="F26" s="27"/>
      <c r="K26" s="2"/>
    </row>
    <row r="27" spans="1:11" x14ac:dyDescent="0.2">
      <c r="A27" s="59" t="str">
        <f t="shared" si="0"/>
        <v>1993</v>
      </c>
      <c r="B27" s="59"/>
      <c r="C27" s="31">
        <f>'4.2'!E27</f>
        <v>3375</v>
      </c>
      <c r="D27" s="120">
        <f>'4.4'!G26</f>
        <v>1375</v>
      </c>
      <c r="E27" s="39">
        <f t="shared" si="1"/>
        <v>0.40699999999999997</v>
      </c>
      <c r="F27" s="27"/>
      <c r="K27" s="2"/>
    </row>
    <row r="28" spans="1:11" x14ac:dyDescent="0.2">
      <c r="A28" s="59" t="str">
        <f t="shared" si="0"/>
        <v>1994</v>
      </c>
      <c r="B28" s="59"/>
      <c r="C28" s="31">
        <f>'4.2'!E28</f>
        <v>679</v>
      </c>
      <c r="D28" s="120">
        <f>'4.4'!G27</f>
        <v>507</v>
      </c>
      <c r="E28" s="39">
        <f t="shared" si="1"/>
        <v>0.747</v>
      </c>
      <c r="F28" s="27"/>
      <c r="K28" s="2"/>
    </row>
    <row r="29" spans="1:11" x14ac:dyDescent="0.2">
      <c r="A29" s="59" t="str">
        <f t="shared" si="0"/>
        <v>1995</v>
      </c>
      <c r="B29" s="59"/>
      <c r="C29" s="31">
        <f>'4.2'!E29</f>
        <v>2977</v>
      </c>
      <c r="D29" s="120">
        <f>'4.4'!G28</f>
        <v>903</v>
      </c>
      <c r="E29" s="39">
        <f t="shared" si="1"/>
        <v>0.30299999999999999</v>
      </c>
      <c r="F29" s="27"/>
      <c r="K29" s="2"/>
    </row>
    <row r="30" spans="1:11" x14ac:dyDescent="0.2">
      <c r="A30" s="59" t="str">
        <f t="shared" si="0"/>
        <v>1996</v>
      </c>
      <c r="B30" s="59"/>
      <c r="C30" s="31">
        <f>'4.2'!E30</f>
        <v>1166</v>
      </c>
      <c r="D30" s="120">
        <f>'4.4'!G29</f>
        <v>582</v>
      </c>
      <c r="E30" s="39">
        <f t="shared" si="1"/>
        <v>0.499</v>
      </c>
      <c r="F30" s="27"/>
      <c r="K30" s="2"/>
    </row>
    <row r="31" spans="1:11" x14ac:dyDescent="0.2">
      <c r="A31" s="59" t="str">
        <f t="shared" si="0"/>
        <v>1997</v>
      </c>
      <c r="B31" s="22"/>
      <c r="C31" s="31">
        <f>'4.2'!E31</f>
        <v>2964</v>
      </c>
      <c r="D31" s="120">
        <f>'4.4'!G30</f>
        <v>1343</v>
      </c>
      <c r="E31" s="39">
        <f t="shared" si="1"/>
        <v>0.45300000000000001</v>
      </c>
      <c r="F31" s="27"/>
      <c r="K31" s="2"/>
    </row>
    <row r="32" spans="1:11" x14ac:dyDescent="0.2">
      <c r="A32" s="59" t="str">
        <f t="shared" si="0"/>
        <v>1998</v>
      </c>
      <c r="B32" s="22"/>
      <c r="C32" s="31">
        <f>'4.2'!E32</f>
        <v>22401</v>
      </c>
      <c r="D32" s="120">
        <f>'4.4'!G31</f>
        <v>4732</v>
      </c>
      <c r="E32" s="39">
        <f t="shared" si="1"/>
        <v>0.21099999999999999</v>
      </c>
      <c r="F32" s="27"/>
      <c r="K32" s="2"/>
    </row>
    <row r="33" spans="1:12" x14ac:dyDescent="0.2">
      <c r="A33" s="59" t="str">
        <f t="shared" si="0"/>
        <v>1999</v>
      </c>
      <c r="B33" s="22"/>
      <c r="C33" s="31">
        <f>'4.2'!E33</f>
        <v>8773</v>
      </c>
      <c r="D33" s="120">
        <f>'4.4'!G32</f>
        <v>2388</v>
      </c>
      <c r="E33" s="39">
        <f t="shared" si="1"/>
        <v>0.27200000000000002</v>
      </c>
      <c r="F33" s="27" t="s">
        <v>80</v>
      </c>
      <c r="K33" s="2"/>
    </row>
    <row r="34" spans="1:12" x14ac:dyDescent="0.2">
      <c r="A34" s="59" t="str">
        <f t="shared" si="0"/>
        <v>2000</v>
      </c>
      <c r="B34" s="59"/>
      <c r="C34" s="31">
        <f>'4.2'!E34</f>
        <v>6227</v>
      </c>
      <c r="D34" s="120">
        <f>'4.4'!G33</f>
        <v>1885</v>
      </c>
      <c r="E34" s="39">
        <f t="shared" si="1"/>
        <v>0.30299999999999999</v>
      </c>
      <c r="F34" s="27"/>
      <c r="K34" s="2"/>
    </row>
    <row r="35" spans="1:12" x14ac:dyDescent="0.2">
      <c r="A35" s="59" t="str">
        <f t="shared" si="0"/>
        <v>2001</v>
      </c>
      <c r="B35" s="59"/>
      <c r="C35" s="31">
        <f>'4.2'!E35</f>
        <v>24605</v>
      </c>
      <c r="D35" s="120">
        <f>'4.4'!G34</f>
        <v>1880</v>
      </c>
      <c r="E35" s="39">
        <f t="shared" si="1"/>
        <v>7.5999999999999998E-2</v>
      </c>
      <c r="F35" s="27"/>
      <c r="K35" s="2"/>
    </row>
    <row r="36" spans="1:12" x14ac:dyDescent="0.2">
      <c r="A36" s="59" t="str">
        <f t="shared" si="0"/>
        <v>2002</v>
      </c>
      <c r="B36" s="59"/>
      <c r="C36" s="31">
        <f>'4.2'!E36</f>
        <v>5167</v>
      </c>
      <c r="D36" s="120">
        <f>'4.4'!G35</f>
        <v>5226</v>
      </c>
      <c r="E36" s="39">
        <f t="shared" si="1"/>
        <v>1.0109999999999999</v>
      </c>
      <c r="F36" s="27"/>
      <c r="K36" s="2"/>
    </row>
    <row r="37" spans="1:12" x14ac:dyDescent="0.2">
      <c r="A37" s="59" t="str">
        <f t="shared" si="0"/>
        <v>2003</v>
      </c>
      <c r="B37" s="59"/>
      <c r="C37" s="31">
        <f>'4.2'!E37</f>
        <v>155001</v>
      </c>
      <c r="D37" s="120">
        <f>'4.4'!G36</f>
        <v>5122</v>
      </c>
      <c r="E37" s="39">
        <f t="shared" si="1"/>
        <v>3.3000000000000002E-2</v>
      </c>
      <c r="F37" s="27" t="s">
        <v>80</v>
      </c>
      <c r="K37" s="2"/>
    </row>
    <row r="38" spans="1:12" x14ac:dyDescent="0.2">
      <c r="A38" s="59" t="str">
        <f t="shared" si="0"/>
        <v>2004</v>
      </c>
      <c r="B38" s="59"/>
      <c r="C38" s="31">
        <f>'4.2'!E38</f>
        <v>5167</v>
      </c>
      <c r="D38" s="120">
        <f>'4.4'!G37</f>
        <v>1471</v>
      </c>
      <c r="E38" s="39">
        <f t="shared" si="1"/>
        <v>0.28499999999999998</v>
      </c>
      <c r="F38" s="27"/>
      <c r="K38" s="2"/>
      <c r="L38" s="84"/>
    </row>
    <row r="39" spans="1:12" x14ac:dyDescent="0.2">
      <c r="A39" s="59" t="str">
        <f t="shared" si="0"/>
        <v>2005</v>
      </c>
      <c r="B39" s="59"/>
      <c r="C39" s="31">
        <f>'4.2'!E39</f>
        <v>154981</v>
      </c>
      <c r="D39" s="120">
        <f>'4.4'!G38</f>
        <v>20235</v>
      </c>
      <c r="E39" s="39">
        <f t="shared" si="1"/>
        <v>0.13100000000000001</v>
      </c>
      <c r="F39" s="27" t="s">
        <v>80</v>
      </c>
      <c r="K39" s="2"/>
    </row>
    <row r="40" spans="1:12" x14ac:dyDescent="0.2">
      <c r="A40" s="59" t="str">
        <f t="shared" si="0"/>
        <v>2006</v>
      </c>
      <c r="B40" s="59"/>
      <c r="C40" s="31">
        <f>'4.2'!E40</f>
        <v>4276</v>
      </c>
      <c r="D40" s="120">
        <f>'4.4'!G39</f>
        <v>1110</v>
      </c>
      <c r="E40" s="39">
        <f t="shared" si="1"/>
        <v>0.26</v>
      </c>
      <c r="F40" s="27"/>
      <c r="K40" s="2"/>
    </row>
    <row r="41" spans="1:12" x14ac:dyDescent="0.2">
      <c r="A41" s="59" t="str">
        <f t="shared" si="0"/>
        <v>2007</v>
      </c>
      <c r="B41" s="59"/>
      <c r="C41" s="31">
        <f>'4.2'!E41</f>
        <v>15745</v>
      </c>
      <c r="D41" s="120">
        <f>'4.4'!G40</f>
        <v>4941</v>
      </c>
      <c r="E41" s="39">
        <f t="shared" si="1"/>
        <v>0.314</v>
      </c>
      <c r="F41" s="27" t="s">
        <v>80</v>
      </c>
      <c r="K41" s="2"/>
    </row>
    <row r="42" spans="1:12" x14ac:dyDescent="0.2">
      <c r="A42" s="59" t="str">
        <f t="shared" si="0"/>
        <v>2008</v>
      </c>
      <c r="B42" s="22"/>
      <c r="C42" s="31">
        <f>'4.2'!E42</f>
        <v>2583017</v>
      </c>
      <c r="D42" s="120">
        <f>'4.4'!G41</f>
        <v>346615</v>
      </c>
      <c r="E42" s="39">
        <f>ROUND(D42/C42,3)</f>
        <v>0.13400000000000001</v>
      </c>
      <c r="F42" s="38" t="s">
        <v>80</v>
      </c>
      <c r="K42" s="2"/>
    </row>
    <row r="43" spans="1:12" x14ac:dyDescent="0.2">
      <c r="A43" s="59" t="str">
        <f t="shared" si="0"/>
        <v>2009</v>
      </c>
      <c r="B43" s="22"/>
      <c r="C43" s="31">
        <f>'4.2'!E43</f>
        <v>10407</v>
      </c>
      <c r="D43" s="120">
        <f>'4.4'!G42</f>
        <v>2219</v>
      </c>
      <c r="E43" s="39">
        <f t="shared" si="1"/>
        <v>0.21299999999999999</v>
      </c>
      <c r="F43" s="27"/>
      <c r="K43" s="2"/>
    </row>
    <row r="44" spans="1:12" x14ac:dyDescent="0.2">
      <c r="A44" s="59" t="str">
        <f t="shared" si="0"/>
        <v>2010</v>
      </c>
      <c r="B44" s="22"/>
      <c r="C44" s="31">
        <f>'4.2'!E44</f>
        <v>18005</v>
      </c>
      <c r="D44" s="120">
        <f>'4.4'!G43</f>
        <v>4274</v>
      </c>
      <c r="E44" s="39">
        <f t="shared" ref="E44:E49" si="2">ROUND(D44/C44,3)</f>
        <v>0.23699999999999999</v>
      </c>
      <c r="F44" s="38"/>
      <c r="K44" s="2"/>
    </row>
    <row r="45" spans="1:12" x14ac:dyDescent="0.2">
      <c r="A45" s="59" t="str">
        <f t="shared" si="0"/>
        <v>2011</v>
      </c>
      <c r="B45" s="22"/>
      <c r="C45" s="31">
        <f>'4.2'!E45</f>
        <v>96073</v>
      </c>
      <c r="D45" s="120">
        <f>'4.4'!G44</f>
        <v>15108</v>
      </c>
      <c r="E45" s="39">
        <f t="shared" si="2"/>
        <v>0.157</v>
      </c>
      <c r="F45" s="38"/>
      <c r="K45" s="2"/>
    </row>
    <row r="46" spans="1:12" x14ac:dyDescent="0.2">
      <c r="A46" s="45" t="str">
        <f t="shared" si="0"/>
        <v>2012</v>
      </c>
      <c r="B46" s="104"/>
      <c r="C46" s="31">
        <f>'4.2'!E46</f>
        <v>67492</v>
      </c>
      <c r="D46" s="120">
        <f>'4.4'!G45</f>
        <v>15833</v>
      </c>
      <c r="E46" s="157">
        <f t="shared" si="2"/>
        <v>0.23499999999999999</v>
      </c>
      <c r="F46" s="47"/>
      <c r="G46" s="50"/>
      <c r="K46" s="2"/>
    </row>
    <row r="47" spans="1:12" x14ac:dyDescent="0.2">
      <c r="A47" s="45" t="str">
        <f t="shared" si="0"/>
        <v>2013</v>
      </c>
      <c r="B47" s="104"/>
      <c r="C47" s="31">
        <f>'4.2'!E47</f>
        <v>70874</v>
      </c>
      <c r="D47" s="120">
        <f>'4.4'!G46</f>
        <v>13839</v>
      </c>
      <c r="E47" s="157">
        <f t="shared" si="2"/>
        <v>0.19500000000000001</v>
      </c>
      <c r="F47" s="47"/>
      <c r="G47" s="50"/>
      <c r="K47" s="2"/>
    </row>
    <row r="48" spans="1:12" x14ac:dyDescent="0.2">
      <c r="A48" s="45" t="str">
        <f t="shared" si="0"/>
        <v>2014</v>
      </c>
      <c r="B48" s="104"/>
      <c r="C48" s="31">
        <f>'4.2'!E48</f>
        <v>7012</v>
      </c>
      <c r="D48" s="120">
        <f>'4.4'!G47</f>
        <v>6825</v>
      </c>
      <c r="E48" s="157">
        <f t="shared" si="2"/>
        <v>0.97299999999999998</v>
      </c>
      <c r="F48" s="47"/>
      <c r="G48" s="50"/>
      <c r="K48" s="2"/>
    </row>
    <row r="49" spans="1:13" x14ac:dyDescent="0.2">
      <c r="A49" s="45" t="str">
        <f t="shared" si="0"/>
        <v>2015</v>
      </c>
      <c r="B49" s="104"/>
      <c r="C49" s="31">
        <f>'4.2'!E49</f>
        <v>138780</v>
      </c>
      <c r="D49" s="120">
        <f>'4.4'!G48</f>
        <v>39990</v>
      </c>
      <c r="E49" s="157">
        <f t="shared" si="2"/>
        <v>0.28799999999999998</v>
      </c>
      <c r="F49" s="47"/>
      <c r="G49" s="50"/>
      <c r="K49" s="2"/>
      <c r="L49" s="52"/>
      <c r="M49" s="84"/>
    </row>
    <row r="50" spans="1:13" x14ac:dyDescent="0.2">
      <c r="A50" s="45" t="str">
        <f t="shared" si="0"/>
        <v>2016</v>
      </c>
      <c r="B50" s="104"/>
      <c r="C50" s="31">
        <f>'4.2'!E50</f>
        <v>28428</v>
      </c>
      <c r="D50" s="120">
        <f>'4.4'!G49</f>
        <v>15398</v>
      </c>
      <c r="E50" s="157">
        <f t="shared" ref="E50:E55" si="3">ROUND(D50/C50,3)</f>
        <v>0.54200000000000004</v>
      </c>
      <c r="F50" s="47"/>
      <c r="G50" s="50"/>
      <c r="K50" s="2"/>
      <c r="L50" s="52"/>
      <c r="M50" s="84"/>
    </row>
    <row r="51" spans="1:13" x14ac:dyDescent="0.2">
      <c r="A51" s="45" t="str">
        <f t="shared" si="0"/>
        <v>2017</v>
      </c>
      <c r="B51" s="104"/>
      <c r="C51" s="120">
        <f>'4.2'!E51</f>
        <v>1420231.912247037</v>
      </c>
      <c r="D51" s="120">
        <f>'4.4'!G50</f>
        <v>281401</v>
      </c>
      <c r="E51" s="157">
        <f t="shared" si="3"/>
        <v>0.19800000000000001</v>
      </c>
      <c r="F51" s="47" t="s">
        <v>80</v>
      </c>
      <c r="K51" s="2"/>
    </row>
    <row r="52" spans="1:13" x14ac:dyDescent="0.2">
      <c r="A52" s="45" t="str">
        <f t="shared" si="0"/>
        <v>2018</v>
      </c>
      <c r="B52" s="104"/>
      <c r="C52" s="120">
        <f>'4.2'!E52</f>
        <v>11936</v>
      </c>
      <c r="D52" s="120">
        <f>'4.4'!G51</f>
        <v>6663</v>
      </c>
      <c r="E52" s="157">
        <f t="shared" si="3"/>
        <v>0.55800000000000005</v>
      </c>
      <c r="F52" s="47"/>
      <c r="K52" s="2"/>
    </row>
    <row r="53" spans="1:13" x14ac:dyDescent="0.2">
      <c r="A53" s="154">
        <v>2019</v>
      </c>
      <c r="B53" s="104"/>
      <c r="C53" s="120">
        <f>'4.2'!E53</f>
        <v>17307</v>
      </c>
      <c r="D53" s="120">
        <f>'4.4'!G52</f>
        <v>9357</v>
      </c>
      <c r="E53" s="157">
        <f t="shared" si="3"/>
        <v>0.54100000000000004</v>
      </c>
      <c r="F53" s="47"/>
      <c r="K53" s="2"/>
    </row>
    <row r="54" spans="1:13" x14ac:dyDescent="0.2">
      <c r="A54" s="154">
        <v>2020</v>
      </c>
      <c r="B54" s="104"/>
      <c r="C54" s="120">
        <f>'4.2'!E54</f>
        <v>63200</v>
      </c>
      <c r="D54" s="120">
        <f>'4.4'!G53</f>
        <v>28028</v>
      </c>
      <c r="E54" s="157">
        <f t="shared" si="3"/>
        <v>0.443</v>
      </c>
      <c r="F54" s="47" t="s">
        <v>80</v>
      </c>
      <c r="K54" s="2"/>
    </row>
    <row r="55" spans="1:13" x14ac:dyDescent="0.2">
      <c r="A55" s="154">
        <v>2021</v>
      </c>
      <c r="B55" s="104"/>
      <c r="C55" s="120">
        <f>'4.2'!E55</f>
        <v>60359</v>
      </c>
      <c r="D55" s="120">
        <f>'4.4'!G54</f>
        <v>22171</v>
      </c>
      <c r="E55" s="157">
        <f t="shared" si="3"/>
        <v>0.36699999999999999</v>
      </c>
      <c r="F55" s="47" t="s">
        <v>80</v>
      </c>
      <c r="K55" s="2"/>
    </row>
    <row r="56" spans="1:13" x14ac:dyDescent="0.2">
      <c r="A56" s="313"/>
      <c r="B56" s="313"/>
      <c r="C56" s="313"/>
      <c r="D56" s="313"/>
      <c r="E56" s="313"/>
      <c r="F56" s="313"/>
      <c r="K56" s="2"/>
    </row>
    <row r="57" spans="1:13" x14ac:dyDescent="0.2">
      <c r="A57" t="s">
        <v>82</v>
      </c>
      <c r="C57" s="19">
        <f>SUM(C14:C55)</f>
        <v>5191629.9122470375</v>
      </c>
      <c r="D57" s="19">
        <f>SUM(D14:D55)</f>
        <v>880549</v>
      </c>
      <c r="E57" s="39">
        <f>ROUND(D57/C57,3)</f>
        <v>0.17</v>
      </c>
      <c r="F57" s="19"/>
      <c r="K57" s="2"/>
    </row>
    <row r="58" spans="1:13" x14ac:dyDescent="0.2">
      <c r="K58" s="2"/>
    </row>
    <row r="59" spans="1:13" x14ac:dyDescent="0.2">
      <c r="A59" t="s">
        <v>81</v>
      </c>
      <c r="C59" s="19">
        <f>SUMIF($F$14:$F$55,"H",C$14:C$55)</f>
        <v>4636394.9122470375</v>
      </c>
      <c r="D59" s="19">
        <f>SUMIF($F$14:$F$55,"H",D$14:D$55)</f>
        <v>725379</v>
      </c>
      <c r="E59" s="39">
        <f>ROUND(D59/C59,3)</f>
        <v>0.156</v>
      </c>
      <c r="K59" s="2"/>
    </row>
    <row r="60" spans="1:13" x14ac:dyDescent="0.2">
      <c r="K60" s="2"/>
    </row>
    <row r="61" spans="1:13" x14ac:dyDescent="0.2">
      <c r="A61" t="s">
        <v>83</v>
      </c>
      <c r="K61" s="2"/>
    </row>
    <row r="62" spans="1:13" x14ac:dyDescent="0.2">
      <c r="B62" t="s">
        <v>9</v>
      </c>
      <c r="C62" s="19">
        <f>C57-C59</f>
        <v>555235</v>
      </c>
      <c r="D62" s="19">
        <f>D57-D59</f>
        <v>155170</v>
      </c>
      <c r="E62" s="39">
        <f>ROUND(D62/C62,3)</f>
        <v>0.27900000000000003</v>
      </c>
      <c r="K62" s="2"/>
    </row>
    <row r="63" spans="1:13" x14ac:dyDescent="0.2">
      <c r="B63" t="s">
        <v>84</v>
      </c>
      <c r="C63" s="19">
        <f>SUMIF($F$43:$F$55,"&lt;&gt;H",C$43:C$55)</f>
        <v>466314</v>
      </c>
      <c r="D63" s="19">
        <f>SUMIF($F$41:$F$55,"&lt;&gt;H",D$41:D$55)</f>
        <v>129506</v>
      </c>
      <c r="E63" s="39">
        <f>ROUND(D63/C63,3)</f>
        <v>0.27800000000000002</v>
      </c>
      <c r="K63" s="2"/>
    </row>
    <row r="64" spans="1:13" ht="10.5" thickBot="1" x14ac:dyDescent="0.25">
      <c r="A64" s="6"/>
      <c r="B64" s="323"/>
      <c r="C64" s="6"/>
      <c r="D64" s="6"/>
      <c r="E64" s="6"/>
      <c r="F64" s="6"/>
      <c r="K64" s="2"/>
    </row>
    <row r="65" spans="1:11" ht="10.5" thickTop="1" x14ac:dyDescent="0.2">
      <c r="K65" s="2"/>
    </row>
    <row r="66" spans="1:11" x14ac:dyDescent="0.2">
      <c r="A66" t="s">
        <v>17</v>
      </c>
      <c r="K66" s="2"/>
    </row>
    <row r="67" spans="1:11" x14ac:dyDescent="0.2">
      <c r="B67" s="22" t="str">
        <f>C12&amp;" "&amp;'4.2'!$K$1&amp;", "&amp;'4.2'!$K$2</f>
        <v>(2) Exhibit 4, Sheet 2</v>
      </c>
      <c r="D67" s="22"/>
      <c r="K67" s="2"/>
    </row>
    <row r="68" spans="1:11" x14ac:dyDescent="0.2">
      <c r="B68" s="22" t="str">
        <f>D12&amp;" "&amp;'4.4'!$J$1&amp;", "&amp;'4.4'!$J$2</f>
        <v>(3) Exhibit 4, Sheet 4</v>
      </c>
      <c r="K68" s="2"/>
    </row>
    <row r="69" spans="1:11" x14ac:dyDescent="0.2">
      <c r="B69" s="22" t="str">
        <f>E12&amp;" = "&amp;D12&amp;" / "&amp;C12</f>
        <v>(4) = (3) / (2)</v>
      </c>
      <c r="K69" s="2"/>
    </row>
    <row r="70" spans="1:11" x14ac:dyDescent="0.2">
      <c r="B70" s="22" t="str">
        <f>F12&amp;" ""H"" indicates hurricane year"</f>
        <v>(5) "H" indicates hurricane year</v>
      </c>
      <c r="K70" s="2"/>
    </row>
    <row r="71" spans="1:11" ht="10.5" thickBot="1" x14ac:dyDescent="0.25">
      <c r="K71" s="2"/>
    </row>
    <row r="72" spans="1:11" ht="10.5" hidden="1" thickBot="1" x14ac:dyDescent="0.25">
      <c r="K72" s="2"/>
    </row>
    <row r="73" spans="1:11" ht="10.5" thickBot="1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2">
    <tabColor rgb="FF92D050"/>
  </sheetPr>
  <dimension ref="A1:P74"/>
  <sheetViews>
    <sheetView showGridLines="0" workbookViewId="0">
      <selection activeCell="H63" sqref="H63"/>
    </sheetView>
  </sheetViews>
  <sheetFormatPr defaultColWidth="11.33203125" defaultRowHeight="10" x14ac:dyDescent="0.2"/>
  <cols>
    <col min="1" max="1" width="5.109375" bestFit="1" customWidth="1"/>
    <col min="2" max="2" width="11.33203125" customWidth="1"/>
    <col min="3" max="5" width="15.33203125" customWidth="1"/>
    <col min="6" max="10" width="11.33203125" customWidth="1"/>
    <col min="11" max="11" width="2.33203125" customWidth="1"/>
  </cols>
  <sheetData>
    <row r="1" spans="1:16" ht="10.5" x14ac:dyDescent="0.25">
      <c r="A1" s="8" t="str">
        <f>'1'!$A$1</f>
        <v>Texas Windstorm Insurance Association</v>
      </c>
      <c r="B1" s="12"/>
      <c r="K1" s="7" t="s">
        <v>75</v>
      </c>
      <c r="L1" s="1"/>
      <c r="O1" t="s">
        <v>428</v>
      </c>
      <c r="P1" t="s">
        <v>447</v>
      </c>
    </row>
    <row r="2" spans="1:16" ht="10.5" x14ac:dyDescent="0.25">
      <c r="A2" s="8" t="str">
        <f>'1'!$A$2</f>
        <v>Residential Property - Wind &amp; Hail</v>
      </c>
      <c r="B2" s="12"/>
      <c r="K2" s="7" t="s">
        <v>85</v>
      </c>
      <c r="L2" s="2"/>
      <c r="O2" t="s">
        <v>428</v>
      </c>
      <c r="P2" t="s">
        <v>448</v>
      </c>
    </row>
    <row r="3" spans="1:16" ht="10.5" x14ac:dyDescent="0.25">
      <c r="A3" s="8" t="str">
        <f>'1'!$A$3</f>
        <v>Rate Level Review</v>
      </c>
      <c r="B3" s="12"/>
      <c r="L3" s="2"/>
    </row>
    <row r="4" spans="1:16" x14ac:dyDescent="0.2">
      <c r="A4" t="s">
        <v>86</v>
      </c>
      <c r="B4" s="12"/>
      <c r="L4" s="2"/>
    </row>
    <row r="5" spans="1:16" x14ac:dyDescent="0.2">
      <c r="B5" s="12"/>
      <c r="L5" s="2"/>
    </row>
    <row r="6" spans="1:16" x14ac:dyDescent="0.2">
      <c r="L6" s="2"/>
    </row>
    <row r="7" spans="1:16" ht="10.5" thickBot="1" x14ac:dyDescent="0.25">
      <c r="A7" s="6"/>
      <c r="B7" s="6"/>
      <c r="C7" s="6"/>
      <c r="D7" s="6"/>
      <c r="E7" s="6"/>
      <c r="F7" s="45"/>
      <c r="L7" s="2"/>
    </row>
    <row r="8" spans="1:16" ht="10.5" thickTop="1" x14ac:dyDescent="0.2">
      <c r="F8" s="45"/>
      <c r="L8" s="2"/>
    </row>
    <row r="9" spans="1:16" x14ac:dyDescent="0.2">
      <c r="C9" s="22" t="s">
        <v>87</v>
      </c>
      <c r="E9" t="s">
        <v>13</v>
      </c>
      <c r="F9" s="45"/>
      <c r="L9" s="2"/>
      <c r="M9" s="27"/>
    </row>
    <row r="10" spans="1:16" x14ac:dyDescent="0.2">
      <c r="A10" t="s">
        <v>53</v>
      </c>
      <c r="C10" t="s">
        <v>41</v>
      </c>
      <c r="D10" t="s">
        <v>56</v>
      </c>
      <c r="E10" t="s">
        <v>35</v>
      </c>
      <c r="F10" s="45"/>
      <c r="L10" s="2"/>
      <c r="M10" t="s">
        <v>219</v>
      </c>
    </row>
    <row r="11" spans="1:16" x14ac:dyDescent="0.2">
      <c r="A11" s="9" t="s">
        <v>54</v>
      </c>
      <c r="B11" s="9"/>
      <c r="C11" s="9" t="str">
        <f>"at "&amp;TEXT($M$11,"m/d/yy")</f>
        <v>at 12/31/21</v>
      </c>
      <c r="D11" s="9" t="s">
        <v>37</v>
      </c>
      <c r="E11" s="9" t="s">
        <v>41</v>
      </c>
      <c r="F11" s="45"/>
      <c r="L11" s="2"/>
      <c r="M11" s="52">
        <f>'2.1'!$L$9</f>
        <v>44561</v>
      </c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46"/>
      <c r="L12" s="2"/>
    </row>
    <row r="13" spans="1:16" x14ac:dyDescent="0.2">
      <c r="A13" s="13"/>
      <c r="B13" s="13"/>
      <c r="C13" s="11"/>
      <c r="D13" s="11"/>
      <c r="E13" s="11"/>
      <c r="F13" s="46"/>
      <c r="L13" s="2"/>
    </row>
    <row r="14" spans="1:16" x14ac:dyDescent="0.2">
      <c r="A14" s="262">
        <v>1980</v>
      </c>
      <c r="C14" s="340"/>
      <c r="D14" s="340"/>
      <c r="E14" s="334">
        <f>'[4]4.2'!E14</f>
        <v>12911</v>
      </c>
      <c r="F14" s="45"/>
      <c r="L14" s="2"/>
    </row>
    <row r="15" spans="1:16" x14ac:dyDescent="0.2">
      <c r="A15" s="59" t="str">
        <f t="shared" ref="A15:A52" si="0">TEXT(A14+1,"#")</f>
        <v>1981</v>
      </c>
      <c r="B15" s="25"/>
      <c r="C15" s="334"/>
      <c r="D15" s="334"/>
      <c r="E15" s="334">
        <f>'[4]4.2'!E15</f>
        <v>2512</v>
      </c>
      <c r="F15" s="47"/>
      <c r="L15" s="2"/>
    </row>
    <row r="16" spans="1:16" x14ac:dyDescent="0.2">
      <c r="A16" s="59" t="str">
        <f t="shared" si="0"/>
        <v>1982</v>
      </c>
      <c r="B16" s="25"/>
      <c r="C16" s="334"/>
      <c r="D16" s="334"/>
      <c r="E16" s="334">
        <f>'[4]4.2'!E16</f>
        <v>796</v>
      </c>
      <c r="F16" s="47"/>
      <c r="L16" s="2"/>
    </row>
    <row r="17" spans="1:12" x14ac:dyDescent="0.2">
      <c r="A17" s="59" t="str">
        <f t="shared" si="0"/>
        <v>1983</v>
      </c>
      <c r="B17" s="25"/>
      <c r="C17" s="334"/>
      <c r="D17" s="334"/>
      <c r="E17" s="334">
        <f>'[4]4.2'!E17</f>
        <v>148999</v>
      </c>
      <c r="F17" s="47"/>
      <c r="L17" s="2"/>
    </row>
    <row r="18" spans="1:12" x14ac:dyDescent="0.2">
      <c r="A18" s="59" t="str">
        <f t="shared" si="0"/>
        <v>1984</v>
      </c>
      <c r="B18" s="25"/>
      <c r="C18" s="334"/>
      <c r="D18" s="334"/>
      <c r="E18" s="334">
        <f>'[4]4.2'!E18</f>
        <v>999</v>
      </c>
      <c r="F18" s="47"/>
      <c r="L18" s="2"/>
    </row>
    <row r="19" spans="1:12" x14ac:dyDescent="0.2">
      <c r="A19" s="59" t="str">
        <f t="shared" si="0"/>
        <v>1985</v>
      </c>
      <c r="B19" s="25"/>
      <c r="C19" s="334"/>
      <c r="D19" s="334"/>
      <c r="E19" s="334">
        <f>'[4]4.2'!E19</f>
        <v>512</v>
      </c>
      <c r="F19" s="47"/>
      <c r="L19" s="2"/>
    </row>
    <row r="20" spans="1:12" x14ac:dyDescent="0.2">
      <c r="A20" s="59" t="str">
        <f t="shared" si="0"/>
        <v>1986</v>
      </c>
      <c r="B20" s="25"/>
      <c r="C20" s="334"/>
      <c r="D20" s="334"/>
      <c r="E20" s="334">
        <f>'[4]4.2'!E20</f>
        <v>881</v>
      </c>
      <c r="F20" s="47"/>
      <c r="L20" s="2"/>
    </row>
    <row r="21" spans="1:12" x14ac:dyDescent="0.2">
      <c r="A21" s="59" t="str">
        <f t="shared" si="0"/>
        <v>1987</v>
      </c>
      <c r="B21" s="25"/>
      <c r="C21" s="334"/>
      <c r="D21" s="334"/>
      <c r="E21" s="334">
        <f>'[4]4.2'!E21</f>
        <v>1897</v>
      </c>
      <c r="F21" s="47"/>
      <c r="L21" s="2"/>
    </row>
    <row r="22" spans="1:12" x14ac:dyDescent="0.2">
      <c r="A22" s="59" t="str">
        <f t="shared" si="0"/>
        <v>1988</v>
      </c>
      <c r="B22" s="25"/>
      <c r="C22" s="334"/>
      <c r="D22" s="334"/>
      <c r="E22" s="334">
        <f>'[4]4.2'!E22</f>
        <v>1160</v>
      </c>
      <c r="F22" s="47"/>
      <c r="L22" s="2"/>
    </row>
    <row r="23" spans="1:12" x14ac:dyDescent="0.2">
      <c r="A23" s="59" t="str">
        <f t="shared" si="0"/>
        <v>1989</v>
      </c>
      <c r="C23" s="334"/>
      <c r="D23" s="334"/>
      <c r="E23" s="334">
        <f>'[4]4.2'!E23</f>
        <v>12296</v>
      </c>
      <c r="F23" s="48"/>
      <c r="L23" s="2"/>
    </row>
    <row r="24" spans="1:12" x14ac:dyDescent="0.2">
      <c r="A24" s="59" t="str">
        <f t="shared" si="0"/>
        <v>1990</v>
      </c>
      <c r="C24" s="334"/>
      <c r="D24" s="334"/>
      <c r="E24" s="334">
        <f>'[4]4.2'!E24</f>
        <v>335</v>
      </c>
      <c r="F24" s="48"/>
      <c r="L24" s="2"/>
    </row>
    <row r="25" spans="1:12" x14ac:dyDescent="0.2">
      <c r="A25" s="59" t="str">
        <f t="shared" si="0"/>
        <v>1991</v>
      </c>
      <c r="C25" s="334"/>
      <c r="D25" s="334"/>
      <c r="E25" s="334">
        <f>'[4]4.2'!E25</f>
        <v>1217</v>
      </c>
      <c r="F25" s="48"/>
      <c r="L25" s="2"/>
    </row>
    <row r="26" spans="1:12" x14ac:dyDescent="0.2">
      <c r="A26" s="59" t="str">
        <f t="shared" si="0"/>
        <v>1992</v>
      </c>
      <c r="C26" s="334"/>
      <c r="D26" s="334"/>
      <c r="E26" s="334">
        <f>'[4]4.2'!E26</f>
        <v>489</v>
      </c>
      <c r="F26" s="48"/>
      <c r="L26" s="2"/>
    </row>
    <row r="27" spans="1:12" x14ac:dyDescent="0.2">
      <c r="A27" s="59" t="str">
        <f t="shared" si="0"/>
        <v>1993</v>
      </c>
      <c r="C27" s="334"/>
      <c r="D27" s="334"/>
      <c r="E27" s="334">
        <f>'[4]4.2'!E27</f>
        <v>3375</v>
      </c>
      <c r="F27" s="48"/>
      <c r="L27" s="2"/>
    </row>
    <row r="28" spans="1:12" x14ac:dyDescent="0.2">
      <c r="A28" s="59" t="str">
        <f t="shared" si="0"/>
        <v>1994</v>
      </c>
      <c r="C28" s="334"/>
      <c r="D28" s="334"/>
      <c r="E28" s="334">
        <f>'[4]4.2'!E28</f>
        <v>679</v>
      </c>
      <c r="F28" s="48"/>
      <c r="L28" s="2"/>
    </row>
    <row r="29" spans="1:12" x14ac:dyDescent="0.2">
      <c r="A29" s="59" t="str">
        <f t="shared" si="0"/>
        <v>1995</v>
      </c>
      <c r="C29" s="334"/>
      <c r="D29" s="334"/>
      <c r="E29" s="334">
        <f>'[4]4.2'!E29</f>
        <v>2977</v>
      </c>
      <c r="F29" s="48"/>
      <c r="L29" s="2"/>
    </row>
    <row r="30" spans="1:12" x14ac:dyDescent="0.2">
      <c r="A30" s="59" t="str">
        <f t="shared" si="0"/>
        <v>1996</v>
      </c>
      <c r="C30" s="334"/>
      <c r="D30" s="334"/>
      <c r="E30" s="334">
        <f>'[4]4.2'!E30</f>
        <v>1166</v>
      </c>
      <c r="F30" s="48"/>
      <c r="L30" s="2"/>
    </row>
    <row r="31" spans="1:12" x14ac:dyDescent="0.2">
      <c r="A31" s="59" t="str">
        <f t="shared" si="0"/>
        <v>1997</v>
      </c>
      <c r="C31" s="334"/>
      <c r="D31" s="334"/>
      <c r="E31" s="334">
        <f>'[4]4.2'!E31</f>
        <v>2964</v>
      </c>
      <c r="F31" s="48"/>
      <c r="L31" s="2"/>
    </row>
    <row r="32" spans="1:12" x14ac:dyDescent="0.2">
      <c r="A32" s="59" t="str">
        <f t="shared" si="0"/>
        <v>1998</v>
      </c>
      <c r="B32" s="22"/>
      <c r="C32" s="334"/>
      <c r="D32" s="334"/>
      <c r="E32" s="334">
        <f>'[4]4.2'!E32</f>
        <v>22401</v>
      </c>
      <c r="F32" s="48"/>
      <c r="L32" s="2"/>
    </row>
    <row r="33" spans="1:12" x14ac:dyDescent="0.2">
      <c r="A33" s="59" t="str">
        <f t="shared" si="0"/>
        <v>1999</v>
      </c>
      <c r="C33" s="342"/>
      <c r="D33" s="340"/>
      <c r="E33" s="334">
        <f>'[4]4.2'!E33</f>
        <v>8773</v>
      </c>
      <c r="F33" s="48"/>
      <c r="L33" s="2"/>
    </row>
    <row r="34" spans="1:12" x14ac:dyDescent="0.2">
      <c r="A34" s="59" t="str">
        <f t="shared" si="0"/>
        <v>2000</v>
      </c>
      <c r="B34" s="22"/>
      <c r="C34" s="334"/>
      <c r="D34" s="334"/>
      <c r="E34" s="334">
        <f>'[4]4.2'!E34</f>
        <v>6227</v>
      </c>
      <c r="F34" s="48"/>
      <c r="L34" s="2"/>
    </row>
    <row r="35" spans="1:12" x14ac:dyDescent="0.2">
      <c r="A35" s="59" t="str">
        <f t="shared" si="0"/>
        <v>2001</v>
      </c>
      <c r="B35" s="22"/>
      <c r="C35" s="334"/>
      <c r="D35" s="341"/>
      <c r="E35" s="334">
        <f>'[4]4.2'!E35</f>
        <v>24605</v>
      </c>
      <c r="F35" s="48"/>
      <c r="L35" s="2"/>
    </row>
    <row r="36" spans="1:12" x14ac:dyDescent="0.2">
      <c r="A36" s="59" t="str">
        <f t="shared" si="0"/>
        <v>2002</v>
      </c>
      <c r="C36" s="334"/>
      <c r="D36" s="341"/>
      <c r="E36" s="334">
        <f>'[4]4.2'!E36</f>
        <v>5167</v>
      </c>
      <c r="F36" s="48"/>
      <c r="L36" s="2"/>
    </row>
    <row r="37" spans="1:12" x14ac:dyDescent="0.2">
      <c r="A37" s="59" t="str">
        <f t="shared" si="0"/>
        <v>2003</v>
      </c>
      <c r="C37" s="334"/>
      <c r="D37" s="341"/>
      <c r="E37" s="334">
        <f>'[4]4.2'!E37</f>
        <v>155001</v>
      </c>
      <c r="F37" s="48"/>
      <c r="L37" s="2"/>
    </row>
    <row r="38" spans="1:12" x14ac:dyDescent="0.2">
      <c r="A38" s="59" t="str">
        <f t="shared" si="0"/>
        <v>2004</v>
      </c>
      <c r="C38" s="334"/>
      <c r="D38" s="341"/>
      <c r="E38" s="334">
        <f>'[4]4.2'!E38</f>
        <v>5167</v>
      </c>
      <c r="F38" s="48"/>
      <c r="L38" s="2"/>
    </row>
    <row r="39" spans="1:12" x14ac:dyDescent="0.2">
      <c r="A39" s="59" t="str">
        <f t="shared" si="0"/>
        <v>2005</v>
      </c>
      <c r="C39" s="334"/>
      <c r="D39" s="341"/>
      <c r="E39" s="334">
        <f>'[4]4.2'!E39</f>
        <v>154981</v>
      </c>
      <c r="F39" s="47"/>
      <c r="L39" s="2"/>
    </row>
    <row r="40" spans="1:12" x14ac:dyDescent="0.2">
      <c r="A40" s="59" t="str">
        <f t="shared" si="0"/>
        <v>2006</v>
      </c>
      <c r="C40" s="334"/>
      <c r="D40" s="341"/>
      <c r="E40" s="334">
        <f>'[4]4.2'!E40</f>
        <v>4276</v>
      </c>
      <c r="F40" s="45"/>
      <c r="L40" s="2"/>
    </row>
    <row r="41" spans="1:12" x14ac:dyDescent="0.2">
      <c r="A41" s="59" t="str">
        <f t="shared" si="0"/>
        <v>2007</v>
      </c>
      <c r="C41" s="334"/>
      <c r="D41" s="341"/>
      <c r="E41" s="334">
        <f>'[4]4.2'!E41</f>
        <v>15745</v>
      </c>
      <c r="F41" s="45"/>
      <c r="L41" s="2"/>
    </row>
    <row r="42" spans="1:12" x14ac:dyDescent="0.2">
      <c r="A42" s="59" t="str">
        <f t="shared" si="0"/>
        <v>2008</v>
      </c>
      <c r="B42" s="51"/>
      <c r="C42" s="334"/>
      <c r="D42" s="341"/>
      <c r="E42" s="334">
        <f>'[4]4.2'!E42</f>
        <v>2583017</v>
      </c>
      <c r="F42" s="45"/>
      <c r="H42" s="80"/>
      <c r="L42" s="2"/>
    </row>
    <row r="43" spans="1:12" x14ac:dyDescent="0.2">
      <c r="A43" s="59" t="str">
        <f t="shared" si="0"/>
        <v>2009</v>
      </c>
      <c r="C43" s="334"/>
      <c r="D43" s="341"/>
      <c r="E43" s="334">
        <f>'[4]4.2'!E43</f>
        <v>10407</v>
      </c>
      <c r="F43" s="49"/>
      <c r="H43" s="80"/>
      <c r="L43" s="2"/>
    </row>
    <row r="44" spans="1:12" x14ac:dyDescent="0.2">
      <c r="A44" s="59" t="str">
        <f t="shared" si="0"/>
        <v>2010</v>
      </c>
      <c r="C44" s="334"/>
      <c r="D44" s="341"/>
      <c r="E44" s="334">
        <f>'[4]4.2'!E44</f>
        <v>18005</v>
      </c>
      <c r="F44" s="45"/>
      <c r="H44" s="80"/>
      <c r="L44" s="2"/>
    </row>
    <row r="45" spans="1:12" x14ac:dyDescent="0.2">
      <c r="A45" s="59" t="str">
        <f t="shared" si="0"/>
        <v>2011</v>
      </c>
      <c r="B45" s="51"/>
      <c r="C45" s="334"/>
      <c r="D45" s="341"/>
      <c r="E45" s="334">
        <f>'[4]4.2'!E45</f>
        <v>96073</v>
      </c>
      <c r="F45" s="45"/>
      <c r="H45" s="80"/>
      <c r="L45" s="2"/>
    </row>
    <row r="46" spans="1:12" x14ac:dyDescent="0.2">
      <c r="A46" s="59" t="str">
        <f t="shared" si="0"/>
        <v>2012</v>
      </c>
      <c r="C46" s="334">
        <f>'[4]4.2'!C46</f>
        <v>67492</v>
      </c>
      <c r="D46" s="341">
        <f>'[4]4.2'!D46</f>
        <v>1</v>
      </c>
      <c r="E46" s="334">
        <f>'[4]4.2'!E46</f>
        <v>67492</v>
      </c>
      <c r="F46" s="45"/>
      <c r="H46" s="19"/>
      <c r="L46" s="2"/>
    </row>
    <row r="47" spans="1:12" x14ac:dyDescent="0.2">
      <c r="A47" s="59" t="str">
        <f t="shared" si="0"/>
        <v>2013</v>
      </c>
      <c r="C47" s="334">
        <f>'[4]4.2'!C47</f>
        <v>70874</v>
      </c>
      <c r="D47" s="341">
        <f>'[4]4.2'!D47</f>
        <v>1</v>
      </c>
      <c r="E47" s="334">
        <f>'[4]4.2'!E47</f>
        <v>70874</v>
      </c>
      <c r="H47" s="19"/>
      <c r="L47" s="2"/>
    </row>
    <row r="48" spans="1:12" x14ac:dyDescent="0.2">
      <c r="A48" s="59" t="str">
        <f t="shared" si="0"/>
        <v>2014</v>
      </c>
      <c r="C48" s="334">
        <f>'[4]4.2'!C48</f>
        <v>7012</v>
      </c>
      <c r="D48" s="341">
        <f>'[4]4.2'!D48</f>
        <v>1</v>
      </c>
      <c r="E48" s="334">
        <f>'[4]4.2'!E48</f>
        <v>7012</v>
      </c>
      <c r="H48" s="19"/>
      <c r="L48" s="2"/>
    </row>
    <row r="49" spans="1:12" x14ac:dyDescent="0.2">
      <c r="A49" s="59" t="str">
        <f t="shared" si="0"/>
        <v>2015</v>
      </c>
      <c r="C49" s="334">
        <f>'[4]4.2'!C49</f>
        <v>138780</v>
      </c>
      <c r="D49" s="341">
        <f>'[4]4.2'!D49</f>
        <v>1</v>
      </c>
      <c r="E49" s="334">
        <f>'[4]4.2'!E49</f>
        <v>138780</v>
      </c>
      <c r="H49" s="19"/>
      <c r="L49" s="2"/>
    </row>
    <row r="50" spans="1:12" x14ac:dyDescent="0.2">
      <c r="A50" s="45" t="str">
        <f t="shared" si="0"/>
        <v>2016</v>
      </c>
      <c r="B50" s="50"/>
      <c r="C50" s="334">
        <f>'[4]4.2'!C50</f>
        <v>28456</v>
      </c>
      <c r="D50" s="341">
        <f>'[4]4.2'!D50</f>
        <v>0.999</v>
      </c>
      <c r="E50" s="334">
        <f>'[4]4.2'!E50</f>
        <v>28428</v>
      </c>
      <c r="F50" s="45"/>
      <c r="H50" s="19"/>
      <c r="L50" s="2"/>
    </row>
    <row r="51" spans="1:12" x14ac:dyDescent="0.2">
      <c r="A51" s="45" t="str">
        <f t="shared" si="0"/>
        <v>2017</v>
      </c>
      <c r="B51" s="50"/>
      <c r="C51" s="334">
        <f>'[4]4.2'!C51</f>
        <v>1421854</v>
      </c>
      <c r="D51" s="341">
        <f>'[4]4.2'!D51</f>
        <v>0.9988591741817634</v>
      </c>
      <c r="E51" s="334">
        <f>'[4]4.2'!E51</f>
        <v>1420231.912247037</v>
      </c>
      <c r="F51" s="45"/>
      <c r="H51" s="19"/>
      <c r="L51" s="2"/>
    </row>
    <row r="52" spans="1:12" x14ac:dyDescent="0.2">
      <c r="A52" s="45" t="str">
        <f t="shared" si="0"/>
        <v>2018</v>
      </c>
      <c r="B52" s="50"/>
      <c r="C52" s="334">
        <f>'[4]4.2'!C52</f>
        <v>12069</v>
      </c>
      <c r="D52" s="341">
        <f>'[4]4.2'!D52</f>
        <v>0.98899999999999999</v>
      </c>
      <c r="E52" s="334">
        <f>'[4]4.2'!E52</f>
        <v>11936</v>
      </c>
      <c r="F52" s="45"/>
      <c r="H52" s="19"/>
      <c r="L52" s="2"/>
    </row>
    <row r="53" spans="1:12" x14ac:dyDescent="0.2">
      <c r="A53" s="154">
        <v>2019</v>
      </c>
      <c r="B53" s="50"/>
      <c r="C53" s="334">
        <f>'[4]4.2'!C53</f>
        <v>17624</v>
      </c>
      <c r="D53" s="341">
        <f>'[4]4.2'!D53</f>
        <v>0.98199999999999998</v>
      </c>
      <c r="E53" s="334">
        <f>'[4]4.2'!E53</f>
        <v>17307</v>
      </c>
      <c r="F53" s="45"/>
      <c r="H53" s="19"/>
      <c r="L53" s="2"/>
    </row>
    <row r="54" spans="1:12" x14ac:dyDescent="0.2">
      <c r="A54" s="154">
        <v>2020</v>
      </c>
      <c r="B54" s="50"/>
      <c r="C54" s="335">
        <f>'[4]4.2'!C54</f>
        <v>64821</v>
      </c>
      <c r="D54" s="349">
        <f>'[4]4.2'!D54</f>
        <v>0.97499999999999998</v>
      </c>
      <c r="E54" s="335">
        <f>'[4]4.2'!E54</f>
        <v>63200</v>
      </c>
      <c r="F54" s="45"/>
      <c r="L54" s="2"/>
    </row>
    <row r="55" spans="1:12" ht="10.5" thickBot="1" x14ac:dyDescent="0.25">
      <c r="A55" s="293">
        <v>2021</v>
      </c>
      <c r="B55" s="6"/>
      <c r="C55" s="347">
        <f>'[4]4.2'!C55</f>
        <v>61907</v>
      </c>
      <c r="D55" s="348">
        <f>'[4]4.2'!D55</f>
        <v>0.97499999999999998</v>
      </c>
      <c r="E55" s="347">
        <f>'[4]4.2'!E55</f>
        <v>60359</v>
      </c>
      <c r="F55" s="45"/>
      <c r="L55" s="2"/>
    </row>
    <row r="56" spans="1:12" ht="10.5" thickTop="1" x14ac:dyDescent="0.2">
      <c r="C56" s="19"/>
      <c r="D56" s="19"/>
      <c r="E56" s="39"/>
      <c r="F56" s="45"/>
      <c r="L56" s="2"/>
    </row>
    <row r="57" spans="1:12" x14ac:dyDescent="0.2">
      <c r="A57" t="s">
        <v>17</v>
      </c>
      <c r="L57" s="2"/>
    </row>
    <row r="58" spans="1:12" x14ac:dyDescent="0.2">
      <c r="B58" s="22" t="str">
        <f>C12&amp;" "&amp;'4.3AS loss Dev'!$K$1&amp;", "&amp;'4.3AS loss Dev'!$K$2</f>
        <v>(2) Exhibit 4, Sheet 3</v>
      </c>
      <c r="D58" s="22"/>
      <c r="L58" s="2"/>
    </row>
    <row r="59" spans="1:12" x14ac:dyDescent="0.2">
      <c r="B59" s="22" t="str">
        <f>D12&amp;" "&amp;'4.3AS loss Dev'!$K$1&amp;", "&amp;'4.3AS loss Dev'!$K$2</f>
        <v>(3) Exhibit 4, Sheet 3</v>
      </c>
      <c r="L59" s="2"/>
    </row>
    <row r="60" spans="1:12" x14ac:dyDescent="0.2">
      <c r="B60" s="22" t="str">
        <f>E12&amp;" "&amp;A46&amp;" - "&amp;YEAR(M11)&amp;": "&amp;C12&amp;" * "&amp;D12&amp;"; "&amp;A14&amp;" - "&amp;A45&amp;": from prior TWIA annual statements"</f>
        <v>(4) 2012 - 2021: (2) * (3); 1980 - 2011: from prior TWIA annual statements</v>
      </c>
      <c r="C60" s="22"/>
      <c r="L60" s="2"/>
    </row>
    <row r="61" spans="1:12" x14ac:dyDescent="0.2">
      <c r="B61" s="22"/>
      <c r="L61" s="2"/>
    </row>
    <row r="62" spans="1:12" x14ac:dyDescent="0.2">
      <c r="C62" s="19"/>
      <c r="D62" s="19"/>
      <c r="E62" s="39"/>
      <c r="F62" s="45"/>
      <c r="L62" s="2"/>
    </row>
    <row r="63" spans="1:12" x14ac:dyDescent="0.2">
      <c r="L63" s="2"/>
    </row>
    <row r="64" spans="1:12" x14ac:dyDescent="0.2">
      <c r="L64" s="2"/>
    </row>
    <row r="65" spans="1:12" x14ac:dyDescent="0.2">
      <c r="L65" s="2"/>
    </row>
    <row r="66" spans="1:12" ht="10.5" thickBot="1" x14ac:dyDescent="0.25">
      <c r="L66" s="2"/>
    </row>
    <row r="67" spans="1:12" hidden="1" x14ac:dyDescent="0.2">
      <c r="L67" s="2"/>
    </row>
    <row r="68" spans="1:12" hidden="1" x14ac:dyDescent="0.2">
      <c r="L68" s="2"/>
    </row>
    <row r="69" spans="1:12" hidden="1" x14ac:dyDescent="0.2">
      <c r="L69" s="2"/>
    </row>
    <row r="70" spans="1:12" hidden="1" x14ac:dyDescent="0.2">
      <c r="L70" s="2"/>
    </row>
    <row r="71" spans="1:12" ht="10.5" hidden="1" thickBot="1" x14ac:dyDescent="0.25">
      <c r="L71" s="2"/>
    </row>
    <row r="72" spans="1:12" ht="10.5" hidden="1" thickBot="1" x14ac:dyDescent="0.25">
      <c r="L72" s="2"/>
    </row>
    <row r="73" spans="1:12" ht="10.5" hidden="1" thickBot="1" x14ac:dyDescent="0.25">
      <c r="L73" s="2"/>
    </row>
    <row r="74" spans="1:12" ht="10.5" thickBot="1" x14ac:dyDescent="0.25">
      <c r="A74" s="4"/>
      <c r="B74" s="5"/>
      <c r="C74" s="5"/>
      <c r="D74" s="5"/>
      <c r="E74" s="5"/>
      <c r="F74" s="5"/>
      <c r="G74" s="5"/>
      <c r="H74" s="5"/>
      <c r="I74" s="5"/>
      <c r="J74" s="5"/>
      <c r="K74" s="5"/>
      <c r="L74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3">
    <tabColor rgb="FF92D050"/>
  </sheetPr>
  <dimension ref="A1:P69"/>
  <sheetViews>
    <sheetView showGridLines="0" topLeftCell="A49" workbookViewId="0"/>
  </sheetViews>
  <sheetFormatPr defaultColWidth="11.33203125" defaultRowHeight="10" x14ac:dyDescent="0.2"/>
  <cols>
    <col min="1" max="1" width="2.44140625" bestFit="1" customWidth="1"/>
    <col min="2" max="2" width="11.33203125" customWidth="1"/>
    <col min="3" max="10" width="12.6640625" customWidth="1"/>
    <col min="11" max="11" width="4.6640625" customWidth="1"/>
  </cols>
  <sheetData>
    <row r="1" spans="1:16" ht="10.5" x14ac:dyDescent="0.25">
      <c r="A1" s="8" t="str">
        <f>'1'!$A$1</f>
        <v>Texas Windstorm Insurance Association</v>
      </c>
      <c r="B1" s="12"/>
      <c r="J1" s="50"/>
      <c r="K1" s="7" t="s">
        <v>75</v>
      </c>
      <c r="L1" s="1"/>
      <c r="O1" t="s">
        <v>428</v>
      </c>
      <c r="P1" t="s">
        <v>447</v>
      </c>
    </row>
    <row r="2" spans="1:16" ht="10.5" x14ac:dyDescent="0.25">
      <c r="A2" s="8" t="str">
        <f>'1'!$A$2</f>
        <v>Residential Property - Wind &amp; Hail</v>
      </c>
      <c r="B2" s="12"/>
      <c r="J2" s="50"/>
      <c r="K2" s="7" t="s">
        <v>88</v>
      </c>
      <c r="L2" s="2"/>
    </row>
    <row r="3" spans="1:16" ht="10.5" x14ac:dyDescent="0.25">
      <c r="A3" s="8" t="str">
        <f>'1'!$A$3</f>
        <v>Rate Level Review</v>
      </c>
      <c r="B3" s="12"/>
      <c r="J3" s="50"/>
      <c r="L3" s="2"/>
    </row>
    <row r="4" spans="1:16" x14ac:dyDescent="0.2">
      <c r="A4" t="s">
        <v>89</v>
      </c>
      <c r="B4" s="12"/>
      <c r="J4" s="50"/>
      <c r="L4" s="2"/>
    </row>
    <row r="5" spans="1:16" x14ac:dyDescent="0.2">
      <c r="A5" t="s">
        <v>90</v>
      </c>
      <c r="B5" s="12"/>
      <c r="J5" s="50"/>
      <c r="L5" s="2"/>
    </row>
    <row r="6" spans="1:16" x14ac:dyDescent="0.2">
      <c r="J6" s="50"/>
      <c r="L6" s="2"/>
    </row>
    <row r="7" spans="1:16" ht="10.5" thickBot="1" x14ac:dyDescent="0.25">
      <c r="A7" s="6"/>
      <c r="B7" s="6"/>
      <c r="C7" s="6"/>
      <c r="D7" s="6"/>
      <c r="E7" s="6"/>
      <c r="F7" s="6"/>
      <c r="G7" s="6"/>
      <c r="H7" s="6"/>
      <c r="I7" s="6"/>
      <c r="J7" s="50"/>
      <c r="L7" s="2"/>
    </row>
    <row r="8" spans="1:16" ht="10.5" thickTop="1" x14ac:dyDescent="0.2">
      <c r="J8" s="50"/>
      <c r="L8" s="2"/>
    </row>
    <row r="9" spans="1:16" x14ac:dyDescent="0.2">
      <c r="C9" s="24" t="s">
        <v>68</v>
      </c>
      <c r="J9" s="50"/>
      <c r="L9" s="2"/>
      <c r="M9" s="27"/>
    </row>
    <row r="10" spans="1:16" x14ac:dyDescent="0.2">
      <c r="A10" t="s">
        <v>53</v>
      </c>
      <c r="J10" s="50"/>
      <c r="L10" s="2"/>
      <c r="M10" t="s">
        <v>69</v>
      </c>
    </row>
    <row r="11" spans="1:16" x14ac:dyDescent="0.2">
      <c r="A11" s="9" t="s">
        <v>54</v>
      </c>
      <c r="B11" s="9"/>
      <c r="C11" s="26">
        <f>$M$11</f>
        <v>12</v>
      </c>
      <c r="D11" s="26">
        <f t="shared" ref="D11:I11" si="0">C11+12</f>
        <v>24</v>
      </c>
      <c r="E11" s="26">
        <f t="shared" si="0"/>
        <v>36</v>
      </c>
      <c r="F11" s="26">
        <f t="shared" si="0"/>
        <v>48</v>
      </c>
      <c r="G11" s="26">
        <f t="shared" si="0"/>
        <v>60</v>
      </c>
      <c r="H11" s="26">
        <f t="shared" si="0"/>
        <v>72</v>
      </c>
      <c r="I11" s="26">
        <f t="shared" si="0"/>
        <v>84</v>
      </c>
      <c r="J11" s="51"/>
      <c r="L11" s="2"/>
      <c r="M11" s="80">
        <f>'[5]4.3'!M11</f>
        <v>12</v>
      </c>
    </row>
    <row r="12" spans="1:16" x14ac:dyDescent="0.2">
      <c r="A12" s="13" t="str">
        <f>TEXT(COLUMN(),"(#)")</f>
        <v>(1)</v>
      </c>
      <c r="B12" s="13"/>
      <c r="C12" s="11" t="str">
        <f t="shared" ref="C12:I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J12" s="113"/>
      <c r="L12" s="2"/>
    </row>
    <row r="13" spans="1:16" x14ac:dyDescent="0.2">
      <c r="J13" s="50"/>
      <c r="L13" s="2"/>
    </row>
    <row r="14" spans="1:16" x14ac:dyDescent="0.2">
      <c r="A14" t="str">
        <f t="shared" ref="A14:A22" si="2">TEXT(A15-1,"#")</f>
        <v>2012</v>
      </c>
      <c r="B14" s="25"/>
      <c r="C14" s="334">
        <f>'[4]4.3'!C14</f>
        <v>62722</v>
      </c>
      <c r="D14" s="334">
        <f>'[4]4.3'!D14</f>
        <v>69764</v>
      </c>
      <c r="E14" s="334">
        <f>'[4]4.3'!E14</f>
        <v>67287</v>
      </c>
      <c r="F14" s="334">
        <f>'[4]4.3'!F14</f>
        <v>66724</v>
      </c>
      <c r="G14" s="334">
        <f>'[4]4.3'!G14</f>
        <v>66328</v>
      </c>
      <c r="H14" s="334">
        <f>'[4]4.3'!H14</f>
        <v>67658</v>
      </c>
      <c r="I14" s="334">
        <f>'[4]4.3'!I14</f>
        <v>67492</v>
      </c>
      <c r="J14" s="100"/>
      <c r="L14" s="2"/>
    </row>
    <row r="15" spans="1:16" x14ac:dyDescent="0.2">
      <c r="A15" t="str">
        <f t="shared" si="2"/>
        <v>2013</v>
      </c>
      <c r="B15" s="25"/>
      <c r="C15" s="334">
        <f>'[4]4.3'!C15</f>
        <v>77204</v>
      </c>
      <c r="D15" s="334">
        <f>'[4]4.3'!D15</f>
        <v>75204</v>
      </c>
      <c r="E15" s="334">
        <f>'[4]4.3'!E15</f>
        <v>72860</v>
      </c>
      <c r="F15" s="334">
        <f>'[4]4.3'!F15</f>
        <v>71823</v>
      </c>
      <c r="G15" s="334">
        <f>'[4]4.3'!G15</f>
        <v>71286</v>
      </c>
      <c r="H15" s="334">
        <f>'[4]4.3'!H15</f>
        <v>71068</v>
      </c>
      <c r="I15" s="334">
        <f>'[4]4.3'!I15</f>
        <v>70874</v>
      </c>
      <c r="J15" s="100"/>
      <c r="L15" s="2"/>
    </row>
    <row r="16" spans="1:16" x14ac:dyDescent="0.2">
      <c r="A16" t="str">
        <f t="shared" si="2"/>
        <v>2014</v>
      </c>
      <c r="B16" s="25"/>
      <c r="C16" s="334">
        <f>'[4]4.3'!C16</f>
        <v>6739</v>
      </c>
      <c r="D16" s="334">
        <f>'[4]4.3'!D16</f>
        <v>7854</v>
      </c>
      <c r="E16" s="334">
        <f>'[4]4.3'!E16</f>
        <v>7298</v>
      </c>
      <c r="F16" s="334">
        <f>'[4]4.3'!F16</f>
        <v>7261</v>
      </c>
      <c r="G16" s="334">
        <f>'[4]4.3'!G16</f>
        <v>7068</v>
      </c>
      <c r="H16" s="334">
        <f>'[4]4.3'!H16</f>
        <v>7012</v>
      </c>
      <c r="I16" s="334">
        <f>'[4]4.3'!I16</f>
        <v>7012</v>
      </c>
      <c r="J16" s="100"/>
      <c r="L16" s="2"/>
    </row>
    <row r="17" spans="1:13" x14ac:dyDescent="0.2">
      <c r="A17" t="str">
        <f t="shared" si="2"/>
        <v>2015</v>
      </c>
      <c r="B17" s="25"/>
      <c r="C17" s="334">
        <f>'[4]4.3'!C17</f>
        <v>147927</v>
      </c>
      <c r="D17" s="334">
        <f>'[4]4.3'!D17</f>
        <v>139955</v>
      </c>
      <c r="E17" s="334">
        <f>'[4]4.3'!E17</f>
        <v>140459</v>
      </c>
      <c r="F17" s="334">
        <f>'[4]4.3'!F17</f>
        <v>139777</v>
      </c>
      <c r="G17" s="334">
        <f>'[4]4.3'!G17</f>
        <v>138801</v>
      </c>
      <c r="H17" s="334">
        <f>'[4]4.3'!H17</f>
        <v>138733</v>
      </c>
      <c r="I17" s="334">
        <f>'[4]4.3'!I17</f>
        <v>138780</v>
      </c>
      <c r="J17" s="100"/>
      <c r="L17" s="2"/>
    </row>
    <row r="18" spans="1:13" x14ac:dyDescent="0.2">
      <c r="A18" t="str">
        <f t="shared" si="2"/>
        <v>2016</v>
      </c>
      <c r="B18" s="25"/>
      <c r="C18" s="334">
        <f>'[4]4.3'!C18</f>
        <v>31292</v>
      </c>
      <c r="D18" s="334">
        <f>'[4]4.3'!D18</f>
        <v>29612</v>
      </c>
      <c r="E18" s="334">
        <f>'[4]4.3'!E18</f>
        <v>28908</v>
      </c>
      <c r="F18" s="334">
        <f>'[4]4.3'!F18</f>
        <v>28523</v>
      </c>
      <c r="G18" s="334">
        <f>'[4]4.3'!G18</f>
        <v>28457</v>
      </c>
      <c r="H18" s="334">
        <f>'[4]4.3'!H18</f>
        <v>28456</v>
      </c>
      <c r="I18" s="334"/>
      <c r="J18" s="100"/>
      <c r="L18" s="2"/>
    </row>
    <row r="19" spans="1:13" x14ac:dyDescent="0.2">
      <c r="A19" t="str">
        <f t="shared" si="2"/>
        <v>2017</v>
      </c>
      <c r="B19" s="25"/>
      <c r="C19" s="334">
        <f>'[4]4.3'!C19</f>
        <v>1278467</v>
      </c>
      <c r="D19" s="334">
        <f>'[4]4.3'!D19</f>
        <v>1373877</v>
      </c>
      <c r="E19" s="334">
        <f>'[4]4.3'!E19</f>
        <v>1445588</v>
      </c>
      <c r="F19" s="334">
        <f>'[4]4.3'!F19</f>
        <v>1447150</v>
      </c>
      <c r="G19" s="334">
        <f>'[4]4.3'!G19</f>
        <v>1421854</v>
      </c>
      <c r="H19" s="334"/>
      <c r="I19" s="334"/>
      <c r="J19" s="100"/>
      <c r="L19" s="2"/>
    </row>
    <row r="20" spans="1:13" x14ac:dyDescent="0.2">
      <c r="A20" t="str">
        <f t="shared" si="2"/>
        <v>2018</v>
      </c>
      <c r="B20" s="25"/>
      <c r="C20" s="334">
        <f>'[4]4.3'!C20</f>
        <v>13197</v>
      </c>
      <c r="D20" s="334">
        <f>'[4]4.3'!D20</f>
        <v>12326</v>
      </c>
      <c r="E20" s="334">
        <f>'[4]4.3'!E20</f>
        <v>12193</v>
      </c>
      <c r="F20" s="334">
        <f>'[4]4.3'!F20</f>
        <v>12069</v>
      </c>
      <c r="G20" s="334"/>
      <c r="H20" s="334"/>
      <c r="I20" s="334"/>
      <c r="J20" s="100"/>
      <c r="L20" s="2"/>
    </row>
    <row r="21" spans="1:13" x14ac:dyDescent="0.2">
      <c r="A21" t="str">
        <f t="shared" si="2"/>
        <v>2019</v>
      </c>
      <c r="B21" s="25"/>
      <c r="C21" s="334">
        <f>'[4]4.3'!C21</f>
        <v>18155</v>
      </c>
      <c r="D21" s="334">
        <f>'[4]4.3'!D21</f>
        <v>17949</v>
      </c>
      <c r="E21" s="334">
        <f>'[4]4.3'!E21</f>
        <v>17624</v>
      </c>
      <c r="F21" s="334"/>
      <c r="G21" s="334"/>
      <c r="H21" s="334"/>
      <c r="I21" s="334"/>
      <c r="J21" s="100"/>
      <c r="L21" s="2"/>
    </row>
    <row r="22" spans="1:13" x14ac:dyDescent="0.2">
      <c r="A22" t="str">
        <f t="shared" si="2"/>
        <v>2020</v>
      </c>
      <c r="B22" s="25"/>
      <c r="C22" s="334">
        <f>'[4]4.3'!C22</f>
        <v>87095</v>
      </c>
      <c r="D22" s="334">
        <f>'[4]4.3'!D22</f>
        <v>64821</v>
      </c>
      <c r="E22" s="334"/>
      <c r="F22" s="334"/>
      <c r="G22" s="334"/>
      <c r="H22" s="334"/>
      <c r="I22" s="334"/>
      <c r="J22" s="100"/>
      <c r="L22" s="2"/>
      <c r="M22" t="s">
        <v>219</v>
      </c>
    </row>
    <row r="23" spans="1:13" x14ac:dyDescent="0.2">
      <c r="A23" t="str">
        <f>TEXT(YEAR($M$23),"#")</f>
        <v>2021</v>
      </c>
      <c r="B23" s="25"/>
      <c r="C23" s="334">
        <f>'[4]4.3'!C23</f>
        <v>61907</v>
      </c>
      <c r="D23" s="334"/>
      <c r="E23" s="334"/>
      <c r="F23" s="334"/>
      <c r="G23" s="334"/>
      <c r="H23" s="334"/>
      <c r="I23" s="334"/>
      <c r="J23" s="100"/>
      <c r="L23" s="2"/>
      <c r="M23" s="83">
        <f>'[4]4.3'!$M$23</f>
        <v>44561</v>
      </c>
    </row>
    <row r="24" spans="1:13" x14ac:dyDescent="0.2">
      <c r="A24" s="9"/>
      <c r="B24" s="26"/>
      <c r="C24" s="81"/>
      <c r="D24" s="81"/>
      <c r="E24" s="81"/>
      <c r="F24" s="81"/>
      <c r="G24" s="81"/>
      <c r="H24" s="81"/>
      <c r="I24" s="81"/>
      <c r="J24" s="100"/>
      <c r="L24" s="2"/>
    </row>
    <row r="25" spans="1:13" x14ac:dyDescent="0.2">
      <c r="J25" s="50"/>
      <c r="L25" s="2"/>
    </row>
    <row r="26" spans="1:13" x14ac:dyDescent="0.2">
      <c r="C26" s="24" t="s">
        <v>70</v>
      </c>
      <c r="J26" s="50"/>
      <c r="L26" s="2"/>
    </row>
    <row r="27" spans="1:13" x14ac:dyDescent="0.2">
      <c r="A27" t="s">
        <v>53</v>
      </c>
      <c r="J27" s="50"/>
      <c r="L27" s="2"/>
    </row>
    <row r="28" spans="1:13" x14ac:dyDescent="0.2">
      <c r="A28" s="9" t="s">
        <v>54</v>
      </c>
      <c r="B28" s="9"/>
      <c r="C28" s="9" t="str">
        <f t="shared" ref="C28:H28" si="3">C11&amp;" - "&amp;D11</f>
        <v>12 - 24</v>
      </c>
      <c r="D28" s="9" t="str">
        <f t="shared" si="3"/>
        <v>24 - 36</v>
      </c>
      <c r="E28" s="9" t="str">
        <f t="shared" si="3"/>
        <v>36 - 48</v>
      </c>
      <c r="F28" s="9" t="str">
        <f t="shared" si="3"/>
        <v>48 - 60</v>
      </c>
      <c r="G28" s="9" t="str">
        <f t="shared" si="3"/>
        <v>60 - 72</v>
      </c>
      <c r="H28" s="9" t="str">
        <f t="shared" si="3"/>
        <v>72 - 84</v>
      </c>
      <c r="I28" s="9" t="str">
        <f>I11&amp;" - Ult"</f>
        <v>84 - Ult</v>
      </c>
      <c r="J28" s="50"/>
      <c r="L28" s="2"/>
    </row>
    <row r="29" spans="1:13" x14ac:dyDescent="0.2">
      <c r="A29" s="13" t="str">
        <f>TEXT(COLUMN(),"(#)")</f>
        <v>(1)</v>
      </c>
      <c r="B29" s="13"/>
      <c r="C29" s="11" t="str">
        <f t="shared" ref="C29:I29" si="4">TEXT(COLUMN()-1,"(#)")</f>
        <v>(2)</v>
      </c>
      <c r="D29" s="11" t="str">
        <f t="shared" si="4"/>
        <v>(3)</v>
      </c>
      <c r="E29" s="11" t="str">
        <f t="shared" si="4"/>
        <v>(4)</v>
      </c>
      <c r="F29" s="11" t="str">
        <f t="shared" si="4"/>
        <v>(5)</v>
      </c>
      <c r="G29" s="11" t="str">
        <f t="shared" si="4"/>
        <v>(6)</v>
      </c>
      <c r="H29" s="11" t="str">
        <f t="shared" si="4"/>
        <v>(7)</v>
      </c>
      <c r="I29" s="11" t="str">
        <f t="shared" si="4"/>
        <v>(8)</v>
      </c>
      <c r="J29" s="113"/>
      <c r="L29" s="2"/>
    </row>
    <row r="30" spans="1:13" x14ac:dyDescent="0.2">
      <c r="J30" s="50"/>
      <c r="L30" s="2"/>
    </row>
    <row r="31" spans="1:13" x14ac:dyDescent="0.2">
      <c r="A31" t="str">
        <f t="shared" ref="A31:A39" si="5">A14</f>
        <v>2012</v>
      </c>
      <c r="B31" s="25"/>
      <c r="C31" s="39">
        <f t="shared" ref="C31:H39" si="6">IF(ISNUMBER(D14),D14/C14,"")</f>
        <v>1.1122732055738018</v>
      </c>
      <c r="D31" s="39">
        <f t="shared" si="6"/>
        <v>0.96449458173269886</v>
      </c>
      <c r="E31" s="39">
        <f t="shared" si="6"/>
        <v>0.9916328562723854</v>
      </c>
      <c r="F31" s="39">
        <f t="shared" si="6"/>
        <v>0.99406510401055093</v>
      </c>
      <c r="G31" s="39">
        <f t="shared" si="6"/>
        <v>1.0200518634664093</v>
      </c>
      <c r="H31" s="39">
        <f t="shared" si="6"/>
        <v>0.99754648378610067</v>
      </c>
      <c r="I31" s="39" t="str">
        <f>IF(ISNUMBER(#REF!),#REF!/I14,"")</f>
        <v/>
      </c>
      <c r="J31" s="157"/>
      <c r="L31" s="2"/>
    </row>
    <row r="32" spans="1:13" x14ac:dyDescent="0.2">
      <c r="A32" t="str">
        <f t="shared" si="5"/>
        <v>2013</v>
      </c>
      <c r="B32" s="25"/>
      <c r="C32" s="39">
        <f t="shared" si="6"/>
        <v>0.97409460649707269</v>
      </c>
      <c r="D32" s="39">
        <f t="shared" si="6"/>
        <v>0.96883144513589703</v>
      </c>
      <c r="E32" s="39">
        <f t="shared" si="6"/>
        <v>0.98576722481471313</v>
      </c>
      <c r="F32" s="39">
        <f t="shared" si="6"/>
        <v>0.99252328641243059</v>
      </c>
      <c r="G32" s="39">
        <f t="shared" si="6"/>
        <v>0.99694189602446481</v>
      </c>
      <c r="H32" s="39">
        <f t="shared" si="6"/>
        <v>0.99727022007091803</v>
      </c>
      <c r="I32" s="39" t="str">
        <f>IF(ISNUMBER(#REF!),#REF!/I15,"")</f>
        <v/>
      </c>
      <c r="J32" s="157"/>
      <c r="L32" s="2"/>
    </row>
    <row r="33" spans="1:12" x14ac:dyDescent="0.2">
      <c r="A33" t="str">
        <f t="shared" si="5"/>
        <v>2014</v>
      </c>
      <c r="B33" s="25"/>
      <c r="C33" s="39">
        <f t="shared" si="6"/>
        <v>1.1654548152544888</v>
      </c>
      <c r="D33" s="39">
        <f t="shared" si="6"/>
        <v>0.92920804685510572</v>
      </c>
      <c r="E33" s="39">
        <f t="shared" si="6"/>
        <v>0.99493011784050422</v>
      </c>
      <c r="F33" s="39">
        <f t="shared" si="6"/>
        <v>0.97341963916815866</v>
      </c>
      <c r="G33" s="39">
        <f t="shared" si="6"/>
        <v>0.99207696661007361</v>
      </c>
      <c r="H33" s="39">
        <f t="shared" si="6"/>
        <v>1</v>
      </c>
      <c r="I33" s="39" t="str">
        <f>IF(ISNUMBER(#REF!),#REF!/I16,"")</f>
        <v/>
      </c>
      <c r="J33" s="157"/>
      <c r="L33" s="2"/>
    </row>
    <row r="34" spans="1:12" x14ac:dyDescent="0.2">
      <c r="A34" t="str">
        <f t="shared" si="5"/>
        <v>2015</v>
      </c>
      <c r="B34" s="25"/>
      <c r="C34" s="39">
        <f t="shared" si="6"/>
        <v>0.94610855354330181</v>
      </c>
      <c r="D34" s="39">
        <f t="shared" si="6"/>
        <v>1.0036011575149155</v>
      </c>
      <c r="E34" s="39">
        <f t="shared" si="6"/>
        <v>0.99514449056308252</v>
      </c>
      <c r="F34" s="39">
        <f t="shared" si="6"/>
        <v>0.99301744922269042</v>
      </c>
      <c r="G34" s="39">
        <f t="shared" si="6"/>
        <v>0.99951008998494251</v>
      </c>
      <c r="H34" s="39">
        <f t="shared" si="6"/>
        <v>1.0003387802469492</v>
      </c>
      <c r="I34" s="39" t="str">
        <f>IF(ISNUMBER(#REF!),#REF!/I17,"")</f>
        <v/>
      </c>
      <c r="J34" s="157"/>
      <c r="L34" s="2"/>
    </row>
    <row r="35" spans="1:12" x14ac:dyDescent="0.2">
      <c r="A35" t="str">
        <f t="shared" si="5"/>
        <v>2016</v>
      </c>
      <c r="B35" s="25"/>
      <c r="C35" s="39">
        <f t="shared" si="6"/>
        <v>0.9463121564617154</v>
      </c>
      <c r="D35" s="39">
        <f t="shared" si="6"/>
        <v>0.97622585438335807</v>
      </c>
      <c r="E35" s="39">
        <f t="shared" si="6"/>
        <v>0.98668188736681883</v>
      </c>
      <c r="F35" s="39">
        <f t="shared" si="6"/>
        <v>0.997686077902044</v>
      </c>
      <c r="G35" s="39">
        <f t="shared" si="6"/>
        <v>0.99996485926134171</v>
      </c>
      <c r="H35" s="39" t="str">
        <f t="shared" si="6"/>
        <v/>
      </c>
      <c r="I35" s="39" t="str">
        <f>IF(ISNUMBER(#REF!),#REF!/I18,"")</f>
        <v/>
      </c>
      <c r="J35" s="157"/>
      <c r="L35" s="2"/>
    </row>
    <row r="36" spans="1:12" x14ac:dyDescent="0.2">
      <c r="A36" t="str">
        <f t="shared" si="5"/>
        <v>2017</v>
      </c>
      <c r="B36" s="25"/>
      <c r="C36" s="39">
        <f t="shared" si="6"/>
        <v>1.0746284417196532</v>
      </c>
      <c r="D36" s="39">
        <f t="shared" si="6"/>
        <v>1.0521960845112044</v>
      </c>
      <c r="E36" s="39">
        <f t="shared" si="6"/>
        <v>1.0010805291687535</v>
      </c>
      <c r="F36" s="39">
        <f t="shared" si="6"/>
        <v>0.98252012576443359</v>
      </c>
      <c r="G36" s="39" t="str">
        <f t="shared" si="6"/>
        <v/>
      </c>
      <c r="H36" s="39" t="str">
        <f t="shared" si="6"/>
        <v/>
      </c>
      <c r="I36" s="39" t="str">
        <f>IF(ISNUMBER(#REF!),#REF!/I19,"")</f>
        <v/>
      </c>
      <c r="J36" s="157"/>
      <c r="L36" s="2"/>
    </row>
    <row r="37" spans="1:12" x14ac:dyDescent="0.2">
      <c r="A37" t="str">
        <f t="shared" si="5"/>
        <v>2018</v>
      </c>
      <c r="B37" s="25"/>
      <c r="C37" s="39">
        <f t="shared" si="6"/>
        <v>0.93400015154959459</v>
      </c>
      <c r="D37" s="39">
        <f t="shared" si="6"/>
        <v>0.98920980042187245</v>
      </c>
      <c r="E37" s="39">
        <f t="shared" si="6"/>
        <v>0.9898302304601001</v>
      </c>
      <c r="F37" s="39" t="str">
        <f t="shared" si="6"/>
        <v/>
      </c>
      <c r="G37" s="39" t="str">
        <f t="shared" si="6"/>
        <v/>
      </c>
      <c r="H37" s="39" t="str">
        <f t="shared" si="6"/>
        <v/>
      </c>
      <c r="I37" s="39" t="str">
        <f>IF(ISNUMBER(#REF!),#REF!/I20,"")</f>
        <v/>
      </c>
      <c r="J37" s="157"/>
      <c r="L37" s="2"/>
    </row>
    <row r="38" spans="1:12" x14ac:dyDescent="0.2">
      <c r="A38" t="str">
        <f t="shared" si="5"/>
        <v>2019</v>
      </c>
      <c r="B38" s="25"/>
      <c r="C38" s="39">
        <f t="shared" si="6"/>
        <v>0.98865326356375649</v>
      </c>
      <c r="D38" s="39">
        <f t="shared" si="6"/>
        <v>0.98189314167920216</v>
      </c>
      <c r="E38" s="39" t="str">
        <f t="shared" si="6"/>
        <v/>
      </c>
      <c r="F38" s="39" t="str">
        <f t="shared" si="6"/>
        <v/>
      </c>
      <c r="G38" s="39" t="str">
        <f t="shared" si="6"/>
        <v/>
      </c>
      <c r="H38" s="39" t="str">
        <f t="shared" si="6"/>
        <v/>
      </c>
      <c r="I38" s="39" t="str">
        <f>IF(ISNUMBER(#REF!),#REF!/I21,"")</f>
        <v/>
      </c>
      <c r="J38" s="157"/>
      <c r="L38" s="2"/>
    </row>
    <row r="39" spans="1:12" x14ac:dyDescent="0.2">
      <c r="A39" t="str">
        <f t="shared" si="5"/>
        <v>2020</v>
      </c>
      <c r="B39" s="25"/>
      <c r="C39" s="39">
        <f>IF(ISNUMBER(D22),D22/C22,"")</f>
        <v>0.74425627188701993</v>
      </c>
      <c r="D39" s="39" t="str">
        <f t="shared" si="6"/>
        <v/>
      </c>
      <c r="E39" s="39" t="str">
        <f t="shared" si="6"/>
        <v/>
      </c>
      <c r="F39" s="39" t="str">
        <f t="shared" si="6"/>
        <v/>
      </c>
      <c r="G39" s="39" t="str">
        <f t="shared" si="6"/>
        <v/>
      </c>
      <c r="H39" s="39" t="str">
        <f t="shared" si="6"/>
        <v/>
      </c>
      <c r="I39" s="39" t="str">
        <f>IF(ISNUMBER(#REF!),#REF!/I22,"")</f>
        <v/>
      </c>
      <c r="J39" s="157"/>
      <c r="L39" s="2"/>
    </row>
    <row r="40" spans="1:12" x14ac:dyDescent="0.2">
      <c r="A40" s="9"/>
      <c r="B40" s="26"/>
      <c r="C40" s="40"/>
      <c r="D40" s="40"/>
      <c r="E40" s="40"/>
      <c r="F40" s="40"/>
      <c r="G40" s="40"/>
      <c r="H40" s="40"/>
      <c r="I40" s="40"/>
      <c r="J40" s="50"/>
      <c r="L40" s="2"/>
    </row>
    <row r="41" spans="1:12" x14ac:dyDescent="0.2">
      <c r="C41" s="19"/>
      <c r="J41" s="50"/>
      <c r="L41" s="2"/>
    </row>
    <row r="42" spans="1:12" x14ac:dyDescent="0.2">
      <c r="A42" t="s">
        <v>71</v>
      </c>
      <c r="B42" s="25"/>
      <c r="C42" s="41">
        <f t="shared" ref="C42:H42" si="7">AVERAGE(C31:C39)</f>
        <v>0.98730905178337836</v>
      </c>
      <c r="D42" s="41">
        <f t="shared" si="7"/>
        <v>0.98320751402928175</v>
      </c>
      <c r="E42" s="41">
        <f t="shared" si="7"/>
        <v>0.99215247664090822</v>
      </c>
      <c r="F42" s="41">
        <f t="shared" si="7"/>
        <v>0.98887194708005133</v>
      </c>
      <c r="G42" s="41">
        <f t="shared" si="7"/>
        <v>1.0017091350694465</v>
      </c>
      <c r="H42" s="41">
        <f t="shared" si="7"/>
        <v>0.99878887102599201</v>
      </c>
      <c r="I42" s="41"/>
      <c r="J42" s="158"/>
      <c r="L42" s="2"/>
    </row>
    <row r="43" spans="1:12" x14ac:dyDescent="0.2">
      <c r="A43" t="s">
        <v>97</v>
      </c>
      <c r="B43" s="22"/>
      <c r="C43" s="43">
        <f t="shared" ref="C43:H43" si="8">(SUM(C31:C39)-MAX(C31:C39)-MIN(C31:C39))/(COUNT(C31:C39)-2)</f>
        <v>0.996581482701271</v>
      </c>
      <c r="D43" s="43">
        <f t="shared" si="8"/>
        <v>0.98070933014465733</v>
      </c>
      <c r="E43" s="43">
        <f t="shared" si="8"/>
        <v>0.99164391650057837</v>
      </c>
      <c r="F43" s="43">
        <f t="shared" si="8"/>
        <v>0.99053149135252638</v>
      </c>
      <c r="G43" s="43">
        <f t="shared" si="8"/>
        <v>0.99880561509024979</v>
      </c>
      <c r="H43" s="43">
        <f t="shared" si="8"/>
        <v>0.9987732418930505</v>
      </c>
      <c r="I43" s="41"/>
      <c r="J43" s="158"/>
      <c r="L43" s="2"/>
    </row>
    <row r="44" spans="1:12" x14ac:dyDescent="0.2">
      <c r="A44" t="s">
        <v>98</v>
      </c>
      <c r="C44" s="41">
        <f>AVERAGE(C37:C39)</f>
        <v>0.88896989566679041</v>
      </c>
      <c r="D44" s="41">
        <f>AVERAGE(D36:D38)</f>
        <v>1.007766342204093</v>
      </c>
      <c r="E44" s="41">
        <f>AVERAGE(E35:E37)</f>
        <v>0.99253088233189091</v>
      </c>
      <c r="F44" s="41">
        <f>AVERAGE(F34:F36)</f>
        <v>0.99107455096305597</v>
      </c>
      <c r="G44" s="41">
        <f>AVERAGE(G33:G35)</f>
        <v>0.99718397195211939</v>
      </c>
      <c r="H44" s="41">
        <f>AVERAGE(H32:H34)</f>
        <v>0.99920300010595575</v>
      </c>
      <c r="J44" s="50"/>
      <c r="L44" s="2"/>
    </row>
    <row r="45" spans="1:12" x14ac:dyDescent="0.2">
      <c r="A45" t="s">
        <v>72</v>
      </c>
      <c r="B45" s="25"/>
      <c r="C45" s="41">
        <f>AVERAGE(C35:C39)</f>
        <v>0.93757005703634788</v>
      </c>
      <c r="D45" s="41">
        <f>AVERAGE(D34:D38)</f>
        <v>1.0006252077021105</v>
      </c>
      <c r="E45" s="41">
        <f>AVERAGE(E33:E37)</f>
        <v>0.99353345107985191</v>
      </c>
      <c r="F45" s="41">
        <f>AVERAGE(F32:F36)</f>
        <v>0.98783331569395139</v>
      </c>
      <c r="G45" s="41">
        <f>AVERAGE(G31:G35)</f>
        <v>1.0017091350694465</v>
      </c>
      <c r="H45" s="41">
        <f>AVERAGE(H31:H34)</f>
        <v>0.99878887102599201</v>
      </c>
      <c r="J45" s="50"/>
      <c r="L45" s="2"/>
    </row>
    <row r="46" spans="1:12" x14ac:dyDescent="0.2">
      <c r="A46" s="59" t="s">
        <v>265</v>
      </c>
      <c r="B46" s="59"/>
      <c r="C46" s="211">
        <f>'[4]4.3'!C46</f>
        <v>1.0049999999999999</v>
      </c>
      <c r="D46" s="211">
        <f>'[4]4.3'!D46</f>
        <v>0.99099999999999999</v>
      </c>
      <c r="E46" s="211">
        <f>'[4]4.3'!E46</f>
        <v>0.99299999999999999</v>
      </c>
      <c r="F46" s="211">
        <f>'[4]4.3'!F46</f>
        <v>0.99</v>
      </c>
      <c r="G46" s="211">
        <f>'[4]4.3'!G46</f>
        <v>0.999</v>
      </c>
      <c r="H46" s="211">
        <f>'[4]4.3'!H46</f>
        <v>0.998</v>
      </c>
      <c r="I46" s="211">
        <f>'[4]4.3'!I46</f>
        <v>1</v>
      </c>
      <c r="J46" s="159"/>
      <c r="L46" s="2"/>
    </row>
    <row r="47" spans="1:12" x14ac:dyDescent="0.2">
      <c r="A47" t="s">
        <v>73</v>
      </c>
      <c r="C47" s="42">
        <f>'[4]4.3'!C47</f>
        <v>1</v>
      </c>
      <c r="D47" s="42">
        <f>'[4]4.3'!D47</f>
        <v>0.99299999999999999</v>
      </c>
      <c r="E47" s="42">
        <f>'[4]4.3'!E47</f>
        <v>0.99299999999999999</v>
      </c>
      <c r="F47" s="42">
        <f>'[4]4.3'!F47</f>
        <v>0.99</v>
      </c>
      <c r="G47" s="42">
        <f>'[4]4.3'!G47</f>
        <v>1</v>
      </c>
      <c r="H47" s="42">
        <f>'[4]4.3'!H47</f>
        <v>0.999</v>
      </c>
      <c r="I47" s="42">
        <f>'[4]4.3'!I47</f>
        <v>1</v>
      </c>
      <c r="J47" s="160"/>
      <c r="L47" s="2"/>
    </row>
    <row r="48" spans="1:12" x14ac:dyDescent="0.2">
      <c r="A48" t="s">
        <v>74</v>
      </c>
      <c r="C48" s="43">
        <f t="shared" ref="C48:H48" si="9">ROUND(C47*D48,3)</f>
        <v>0.97499999999999998</v>
      </c>
      <c r="D48" s="43">
        <f t="shared" si="9"/>
        <v>0.97499999999999998</v>
      </c>
      <c r="E48" s="43">
        <f t="shared" si="9"/>
        <v>0.98199999999999998</v>
      </c>
      <c r="F48" s="43">
        <f t="shared" si="9"/>
        <v>0.98899999999999999</v>
      </c>
      <c r="G48" s="43">
        <f t="shared" si="9"/>
        <v>0.999</v>
      </c>
      <c r="H48" s="43">
        <f t="shared" si="9"/>
        <v>0.999</v>
      </c>
      <c r="I48" s="43">
        <f>I47</f>
        <v>1</v>
      </c>
      <c r="J48" s="102"/>
      <c r="L48" s="2"/>
    </row>
    <row r="49" spans="1:12" ht="10.5" thickBot="1" x14ac:dyDescent="0.25">
      <c r="A49" s="6"/>
      <c r="B49" s="6"/>
      <c r="C49" s="6"/>
      <c r="D49" s="6"/>
      <c r="E49" s="6"/>
      <c r="F49" s="6"/>
      <c r="G49" s="6"/>
      <c r="H49" s="6"/>
      <c r="I49" s="6"/>
      <c r="J49" s="50"/>
      <c r="L49" s="2"/>
    </row>
    <row r="50" spans="1:12" ht="10.5" thickTop="1" x14ac:dyDescent="0.2">
      <c r="J50" s="50"/>
      <c r="L50" s="2"/>
    </row>
    <row r="51" spans="1:12" x14ac:dyDescent="0.2">
      <c r="J51" s="50"/>
      <c r="L51" s="2"/>
    </row>
    <row r="52" spans="1:12" x14ac:dyDescent="0.2">
      <c r="J52" s="50"/>
      <c r="L52" s="2"/>
    </row>
    <row r="53" spans="1:12" x14ac:dyDescent="0.2">
      <c r="J53" s="50"/>
      <c r="L53" s="2"/>
    </row>
    <row r="54" spans="1:12" x14ac:dyDescent="0.2">
      <c r="J54" s="50"/>
      <c r="L54" s="2"/>
    </row>
    <row r="55" spans="1:12" x14ac:dyDescent="0.2">
      <c r="J55" s="50"/>
      <c r="L55" s="2"/>
    </row>
    <row r="56" spans="1:12" x14ac:dyDescent="0.2">
      <c r="J56" s="50"/>
      <c r="L56" s="2"/>
    </row>
    <row r="57" spans="1:12" x14ac:dyDescent="0.2">
      <c r="J57" s="50"/>
      <c r="L57" s="2"/>
    </row>
    <row r="58" spans="1:12" x14ac:dyDescent="0.2">
      <c r="J58" s="50"/>
      <c r="L58" s="2"/>
    </row>
    <row r="59" spans="1:12" x14ac:dyDescent="0.2">
      <c r="J59" s="50"/>
      <c r="L59" s="2"/>
    </row>
    <row r="60" spans="1:12" x14ac:dyDescent="0.2">
      <c r="J60" s="50"/>
      <c r="L60" s="2"/>
    </row>
    <row r="61" spans="1:12" x14ac:dyDescent="0.2">
      <c r="J61" s="50"/>
      <c r="L61" s="2"/>
    </row>
    <row r="62" spans="1:12" x14ac:dyDescent="0.2">
      <c r="J62" s="50"/>
      <c r="L62" s="2"/>
    </row>
    <row r="63" spans="1:12" x14ac:dyDescent="0.2">
      <c r="J63" s="50"/>
      <c r="L63" s="2"/>
    </row>
    <row r="64" spans="1:12" x14ac:dyDescent="0.2"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ht="10.5" thickBot="1" x14ac:dyDescent="0.25">
      <c r="L68" s="2"/>
    </row>
    <row r="69" spans="1:12" ht="10.5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4">
    <tabColor rgb="FF92D050"/>
  </sheetPr>
  <dimension ref="A1:N72"/>
  <sheetViews>
    <sheetView showGridLines="0" topLeftCell="A46" workbookViewId="0">
      <selection activeCell="K22" sqref="K22"/>
    </sheetView>
  </sheetViews>
  <sheetFormatPr defaultColWidth="11.33203125" defaultRowHeight="10" x14ac:dyDescent="0.2"/>
  <cols>
    <col min="1" max="1" width="5.109375" bestFit="1" customWidth="1"/>
    <col min="2" max="2" width="11.33203125" customWidth="1"/>
    <col min="3" max="5" width="15.33203125" customWidth="1"/>
    <col min="6" max="7" width="14" customWidth="1"/>
    <col min="8" max="9" width="11.33203125" customWidth="1"/>
    <col min="10" max="10" width="8.109375" customWidth="1"/>
    <col min="13" max="13" width="12.109375" bestFit="1" customWidth="1"/>
  </cols>
  <sheetData>
    <row r="1" spans="1:14" ht="10.5" x14ac:dyDescent="0.25">
      <c r="A1" s="8" t="str">
        <f>'1'!$A$1</f>
        <v>Texas Windstorm Insurance Association</v>
      </c>
      <c r="B1" s="12"/>
      <c r="J1" s="7" t="s">
        <v>75</v>
      </c>
      <c r="K1" s="1"/>
      <c r="M1" t="s">
        <v>428</v>
      </c>
      <c r="N1" t="s">
        <v>447</v>
      </c>
    </row>
    <row r="2" spans="1:14" ht="10.5" x14ac:dyDescent="0.25">
      <c r="A2" s="8" t="str">
        <f>'1'!$A$2</f>
        <v>Residential Property - Wind &amp; Hail</v>
      </c>
      <c r="B2" s="12"/>
      <c r="J2" s="7" t="s">
        <v>91</v>
      </c>
      <c r="K2" s="2"/>
    </row>
    <row r="3" spans="1:14" ht="10.5" x14ac:dyDescent="0.25">
      <c r="A3" s="8" t="str">
        <f>'1'!$A$3</f>
        <v>Rate Level Review</v>
      </c>
      <c r="B3" s="12"/>
      <c r="K3" s="2"/>
    </row>
    <row r="4" spans="1:14" x14ac:dyDescent="0.2">
      <c r="A4" t="s">
        <v>220</v>
      </c>
      <c r="B4" s="12"/>
      <c r="K4" s="2"/>
    </row>
    <row r="5" spans="1:14" x14ac:dyDescent="0.2">
      <c r="B5" s="12"/>
      <c r="K5" s="2"/>
    </row>
    <row r="6" spans="1:14" x14ac:dyDescent="0.2">
      <c r="K6" s="2"/>
    </row>
    <row r="7" spans="1:14" ht="10.5" thickBot="1" x14ac:dyDescent="0.25">
      <c r="A7" s="6"/>
      <c r="B7" s="6"/>
      <c r="C7" s="6"/>
      <c r="D7" s="6"/>
      <c r="E7" s="6"/>
      <c r="F7" s="6"/>
      <c r="G7" s="6"/>
      <c r="K7" s="2"/>
    </row>
    <row r="8" spans="1:14" ht="10.5" thickTop="1" x14ac:dyDescent="0.2">
      <c r="K8" s="2"/>
    </row>
    <row r="9" spans="1:14" x14ac:dyDescent="0.2">
      <c r="C9" s="22" t="s">
        <v>87</v>
      </c>
      <c r="E9" t="s">
        <v>13</v>
      </c>
      <c r="K9" s="2"/>
    </row>
    <row r="10" spans="1:14" x14ac:dyDescent="0.2">
      <c r="A10" t="s">
        <v>53</v>
      </c>
      <c r="C10" t="s">
        <v>92</v>
      </c>
      <c r="D10" t="s">
        <v>56</v>
      </c>
      <c r="E10" t="s">
        <v>35</v>
      </c>
      <c r="F10" t="s">
        <v>87</v>
      </c>
      <c r="G10" t="s">
        <v>87</v>
      </c>
      <c r="K10" s="2"/>
    </row>
    <row r="11" spans="1:14" x14ac:dyDescent="0.2">
      <c r="A11" s="9" t="s">
        <v>54</v>
      </c>
      <c r="B11" s="9"/>
      <c r="C11" s="9" t="str">
        <f>"at "&amp;TEXT('4.2'!$M$11,"m/d/yy")</f>
        <v>at 12/31/21</v>
      </c>
      <c r="D11" s="9" t="s">
        <v>37</v>
      </c>
      <c r="E11" s="9" t="s">
        <v>92</v>
      </c>
      <c r="F11" s="9" t="s">
        <v>93</v>
      </c>
      <c r="G11" s="9" t="s">
        <v>36</v>
      </c>
      <c r="K11" s="2"/>
    </row>
    <row r="12" spans="1:14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K12" s="2"/>
    </row>
    <row r="13" spans="1:14" x14ac:dyDescent="0.2">
      <c r="A13" s="220">
        <v>1980</v>
      </c>
      <c r="C13" s="340"/>
      <c r="D13" s="340"/>
      <c r="E13" s="334"/>
      <c r="F13" s="334"/>
      <c r="G13" s="334">
        <f>'[4]4.4'!G13</f>
        <v>1318</v>
      </c>
      <c r="K13" s="2"/>
    </row>
    <row r="14" spans="1:14" x14ac:dyDescent="0.2">
      <c r="A14" t="str">
        <f>TEXT(A13+1,"#")</f>
        <v>1981</v>
      </c>
      <c r="B14" s="25"/>
      <c r="C14" s="334"/>
      <c r="D14" s="334"/>
      <c r="E14" s="334"/>
      <c r="F14" s="334"/>
      <c r="G14" s="334">
        <f>'[4]4.4'!G14</f>
        <v>543</v>
      </c>
      <c r="K14" s="2"/>
    </row>
    <row r="15" spans="1:14" x14ac:dyDescent="0.2">
      <c r="A15" t="str">
        <f>TEXT(A14+1,"#")</f>
        <v>1982</v>
      </c>
      <c r="B15" s="25"/>
      <c r="C15" s="334"/>
      <c r="D15" s="334"/>
      <c r="E15" s="334"/>
      <c r="F15" s="334"/>
      <c r="G15" s="334">
        <f>'[4]4.4'!G15</f>
        <v>565</v>
      </c>
      <c r="K15" s="2"/>
    </row>
    <row r="16" spans="1:14" x14ac:dyDescent="0.2">
      <c r="A16" t="str">
        <f t="shared" ref="A16:A54" si="0">TEXT(A15+1,"#")</f>
        <v>1983</v>
      </c>
      <c r="B16" s="25"/>
      <c r="C16" s="334"/>
      <c r="D16" s="334"/>
      <c r="E16" s="334"/>
      <c r="F16" s="334"/>
      <c r="G16" s="334">
        <f>'[4]4.4'!G16</f>
        <v>9127</v>
      </c>
      <c r="K16" s="2"/>
    </row>
    <row r="17" spans="1:11" x14ac:dyDescent="0.2">
      <c r="A17" t="str">
        <f t="shared" si="0"/>
        <v>1984</v>
      </c>
      <c r="B17" s="25"/>
      <c r="C17" s="334"/>
      <c r="D17" s="334"/>
      <c r="E17" s="334"/>
      <c r="F17" s="334"/>
      <c r="G17" s="334">
        <f>'[4]4.4'!G17</f>
        <v>324</v>
      </c>
      <c r="K17" s="2"/>
    </row>
    <row r="18" spans="1:11" x14ac:dyDescent="0.2">
      <c r="A18" t="str">
        <f t="shared" si="0"/>
        <v>1985</v>
      </c>
      <c r="B18" s="25"/>
      <c r="C18" s="334"/>
      <c r="D18" s="334"/>
      <c r="E18" s="334"/>
      <c r="F18" s="334"/>
      <c r="G18" s="334">
        <f>'[4]4.4'!G18</f>
        <v>297</v>
      </c>
      <c r="K18" s="2"/>
    </row>
    <row r="19" spans="1:11" x14ac:dyDescent="0.2">
      <c r="A19" t="str">
        <f t="shared" si="0"/>
        <v>1986</v>
      </c>
      <c r="B19" s="25"/>
      <c r="C19" s="334"/>
      <c r="D19" s="334"/>
      <c r="E19" s="334">
        <f>'[4]4.4'!E19</f>
        <v>270</v>
      </c>
      <c r="F19" s="334">
        <f>'[4]4.4'!F19</f>
        <v>235</v>
      </c>
      <c r="G19" s="334">
        <f>'[4]4.4'!G19</f>
        <v>505</v>
      </c>
      <c r="K19" s="2"/>
    </row>
    <row r="20" spans="1:11" x14ac:dyDescent="0.2">
      <c r="A20" t="str">
        <f t="shared" si="0"/>
        <v>1987</v>
      </c>
      <c r="B20" s="25"/>
      <c r="C20" s="334"/>
      <c r="D20" s="334"/>
      <c r="E20" s="334">
        <f>'[4]4.4'!E20</f>
        <v>652</v>
      </c>
      <c r="F20" s="334">
        <f>'[4]4.4'!F20</f>
        <v>404</v>
      </c>
      <c r="G20" s="334">
        <f>'[4]4.4'!G20</f>
        <v>1056</v>
      </c>
      <c r="K20" s="2"/>
    </row>
    <row r="21" spans="1:11" x14ac:dyDescent="0.2">
      <c r="A21" t="str">
        <f t="shared" si="0"/>
        <v>1988</v>
      </c>
      <c r="B21" s="25"/>
      <c r="C21" s="334"/>
      <c r="D21" s="334"/>
      <c r="E21" s="334">
        <f>'[4]4.4'!E21</f>
        <v>235</v>
      </c>
      <c r="F21" s="334">
        <f>'[4]4.4'!F21</f>
        <v>122</v>
      </c>
      <c r="G21" s="334">
        <f>'[4]4.4'!G21</f>
        <v>357</v>
      </c>
      <c r="K21" s="2"/>
    </row>
    <row r="22" spans="1:11" x14ac:dyDescent="0.2">
      <c r="A22" t="str">
        <f t="shared" si="0"/>
        <v>1989</v>
      </c>
      <c r="B22" s="25"/>
      <c r="C22" s="334"/>
      <c r="D22" s="334"/>
      <c r="E22" s="334">
        <f>'[4]4.4'!E22</f>
        <v>2727</v>
      </c>
      <c r="F22" s="334">
        <f>'[4]4.4'!F22</f>
        <v>801</v>
      </c>
      <c r="G22" s="334">
        <f>'[4]4.4'!G22</f>
        <v>3528</v>
      </c>
      <c r="K22" s="2"/>
    </row>
    <row r="23" spans="1:11" x14ac:dyDescent="0.2">
      <c r="A23" t="str">
        <f t="shared" si="0"/>
        <v>1990</v>
      </c>
      <c r="C23" s="334"/>
      <c r="D23" s="334"/>
      <c r="E23" s="334">
        <f>'[4]4.4'!E23</f>
        <v>119</v>
      </c>
      <c r="F23" s="334">
        <f>'[4]4.4'!F23</f>
        <v>106</v>
      </c>
      <c r="G23" s="334">
        <f>'[4]4.4'!G23</f>
        <v>225</v>
      </c>
      <c r="K23" s="2"/>
    </row>
    <row r="24" spans="1:11" x14ac:dyDescent="0.2">
      <c r="A24" t="str">
        <f t="shared" si="0"/>
        <v>1991</v>
      </c>
      <c r="C24" s="334"/>
      <c r="D24" s="334"/>
      <c r="E24" s="334">
        <f>'[4]4.4'!E24</f>
        <v>403</v>
      </c>
      <c r="F24" s="334">
        <f>'[4]4.4'!F24</f>
        <v>326</v>
      </c>
      <c r="G24" s="334">
        <f>'[4]4.4'!G24</f>
        <v>729</v>
      </c>
      <c r="K24" s="2"/>
    </row>
    <row r="25" spans="1:11" x14ac:dyDescent="0.2">
      <c r="A25" t="str">
        <f t="shared" si="0"/>
        <v>1992</v>
      </c>
      <c r="C25" s="334"/>
      <c r="D25" s="334"/>
      <c r="E25" s="334">
        <f>'[4]4.4'!E25</f>
        <v>270</v>
      </c>
      <c r="F25" s="334">
        <f>'[4]4.4'!F25</f>
        <v>284</v>
      </c>
      <c r="G25" s="334">
        <f>'[4]4.4'!G25</f>
        <v>554</v>
      </c>
      <c r="K25" s="2"/>
    </row>
    <row r="26" spans="1:11" x14ac:dyDescent="0.2">
      <c r="A26" t="str">
        <f t="shared" si="0"/>
        <v>1993</v>
      </c>
      <c r="C26" s="334"/>
      <c r="D26" s="334"/>
      <c r="E26" s="334">
        <f>'[4]4.4'!E26</f>
        <v>806</v>
      </c>
      <c r="F26" s="334">
        <f>'[4]4.4'!F26</f>
        <v>569</v>
      </c>
      <c r="G26" s="334">
        <f>'[4]4.4'!G26</f>
        <v>1375</v>
      </c>
      <c r="K26" s="2"/>
    </row>
    <row r="27" spans="1:11" x14ac:dyDescent="0.2">
      <c r="A27" t="str">
        <f t="shared" si="0"/>
        <v>1994</v>
      </c>
      <c r="C27" s="334"/>
      <c r="D27" s="334"/>
      <c r="E27" s="334">
        <f>'[4]4.4'!E27</f>
        <v>192</v>
      </c>
      <c r="F27" s="334">
        <f>'[4]4.4'!F27</f>
        <v>315</v>
      </c>
      <c r="G27" s="334">
        <f>'[4]4.4'!G27</f>
        <v>507</v>
      </c>
      <c r="K27" s="2"/>
    </row>
    <row r="28" spans="1:11" x14ac:dyDescent="0.2">
      <c r="A28" t="str">
        <f t="shared" si="0"/>
        <v>1995</v>
      </c>
      <c r="C28" s="334"/>
      <c r="D28" s="334"/>
      <c r="E28" s="334">
        <f>'[4]4.4'!E28</f>
        <v>698</v>
      </c>
      <c r="F28" s="334">
        <f>'[4]4.4'!F28</f>
        <v>205</v>
      </c>
      <c r="G28" s="334">
        <f>'[4]4.4'!G28</f>
        <v>903</v>
      </c>
      <c r="K28" s="2"/>
    </row>
    <row r="29" spans="1:11" x14ac:dyDescent="0.2">
      <c r="A29" t="str">
        <f t="shared" si="0"/>
        <v>1996</v>
      </c>
      <c r="C29" s="334"/>
      <c r="D29" s="334"/>
      <c r="E29" s="334">
        <f>'[4]4.4'!E29</f>
        <v>355</v>
      </c>
      <c r="F29" s="334">
        <f>'[4]4.4'!F29</f>
        <v>227</v>
      </c>
      <c r="G29" s="334">
        <f>'[4]4.4'!G29</f>
        <v>582</v>
      </c>
      <c r="K29" s="2"/>
    </row>
    <row r="30" spans="1:11" x14ac:dyDescent="0.2">
      <c r="A30" t="str">
        <f t="shared" si="0"/>
        <v>1997</v>
      </c>
      <c r="C30" s="334"/>
      <c r="D30" s="334"/>
      <c r="E30" s="334">
        <f>'[4]4.4'!E30</f>
        <v>892</v>
      </c>
      <c r="F30" s="334">
        <f>'[4]4.4'!F30</f>
        <v>451</v>
      </c>
      <c r="G30" s="334">
        <f>'[4]4.4'!G30</f>
        <v>1343</v>
      </c>
      <c r="K30" s="2"/>
    </row>
    <row r="31" spans="1:11" x14ac:dyDescent="0.2">
      <c r="A31" t="str">
        <f t="shared" si="0"/>
        <v>1998</v>
      </c>
      <c r="C31" s="334"/>
      <c r="D31" s="334"/>
      <c r="E31" s="334">
        <f>'[4]4.4'!E31</f>
        <v>3920</v>
      </c>
      <c r="F31" s="334">
        <f>'[4]4.4'!F31</f>
        <v>812</v>
      </c>
      <c r="G31" s="334">
        <f>'[4]4.4'!G31</f>
        <v>4732</v>
      </c>
      <c r="K31" s="2"/>
    </row>
    <row r="32" spans="1:11" x14ac:dyDescent="0.2">
      <c r="A32" t="str">
        <f t="shared" si="0"/>
        <v>1999</v>
      </c>
      <c r="B32" s="22"/>
      <c r="C32" s="334"/>
      <c r="D32" s="334"/>
      <c r="E32" s="334">
        <f>'[4]4.4'!E32</f>
        <v>1757</v>
      </c>
      <c r="F32" s="334">
        <f>'[4]4.4'!F32</f>
        <v>631</v>
      </c>
      <c r="G32" s="334">
        <f>'[4]4.4'!G32</f>
        <v>2388</v>
      </c>
      <c r="K32" s="2"/>
    </row>
    <row r="33" spans="1:11" x14ac:dyDescent="0.2">
      <c r="A33" t="str">
        <f t="shared" si="0"/>
        <v>2000</v>
      </c>
      <c r="B33" s="22"/>
      <c r="C33" s="334"/>
      <c r="D33" s="334"/>
      <c r="E33" s="334">
        <f>'[4]4.4'!E33</f>
        <v>1209</v>
      </c>
      <c r="F33" s="334">
        <f>'[4]4.4'!F33</f>
        <v>676</v>
      </c>
      <c r="G33" s="334">
        <f>'[4]4.4'!G33</f>
        <v>1885</v>
      </c>
      <c r="K33" s="2"/>
    </row>
    <row r="34" spans="1:11" x14ac:dyDescent="0.2">
      <c r="A34" t="str">
        <f t="shared" si="0"/>
        <v>2001</v>
      </c>
      <c r="C34" s="340"/>
      <c r="D34" s="340"/>
      <c r="E34" s="334">
        <f>'[4]4.4'!E34</f>
        <v>1207</v>
      </c>
      <c r="F34" s="334">
        <f>'[4]4.4'!F34</f>
        <v>673</v>
      </c>
      <c r="G34" s="334">
        <f>'[4]4.4'!G34</f>
        <v>1880</v>
      </c>
      <c r="K34" s="2"/>
    </row>
    <row r="35" spans="1:11" x14ac:dyDescent="0.2">
      <c r="A35" t="str">
        <f t="shared" si="0"/>
        <v>2002</v>
      </c>
      <c r="B35" s="22"/>
      <c r="C35" s="334"/>
      <c r="D35" s="341"/>
      <c r="E35" s="334">
        <f>'[4]4.4'!E35</f>
        <v>3643</v>
      </c>
      <c r="F35" s="334">
        <f>'[4]4.4'!F35</f>
        <v>1583</v>
      </c>
      <c r="G35" s="334">
        <f>'[4]4.4'!G35</f>
        <v>5226</v>
      </c>
      <c r="K35" s="2"/>
    </row>
    <row r="36" spans="1:11" x14ac:dyDescent="0.2">
      <c r="A36" t="str">
        <f t="shared" si="0"/>
        <v>2003</v>
      </c>
      <c r="C36" s="334"/>
      <c r="D36" s="341"/>
      <c r="E36" s="334">
        <f>'[4]4.4'!E36</f>
        <v>3239</v>
      </c>
      <c r="F36" s="334">
        <f>'[4]4.4'!F36</f>
        <v>1883</v>
      </c>
      <c r="G36" s="334">
        <f>'[4]4.4'!G36</f>
        <v>5122</v>
      </c>
      <c r="K36" s="2"/>
    </row>
    <row r="37" spans="1:11" x14ac:dyDescent="0.2">
      <c r="A37" t="str">
        <f t="shared" si="0"/>
        <v>2004</v>
      </c>
      <c r="C37" s="334"/>
      <c r="D37" s="341"/>
      <c r="E37" s="334">
        <f>'[4]4.4'!E37</f>
        <v>844</v>
      </c>
      <c r="F37" s="334">
        <f>'[4]4.4'!F37</f>
        <v>627</v>
      </c>
      <c r="G37" s="334">
        <f>'[4]4.4'!G37</f>
        <v>1471</v>
      </c>
      <c r="K37" s="2"/>
    </row>
    <row r="38" spans="1:11" x14ac:dyDescent="0.2">
      <c r="A38" t="str">
        <f t="shared" si="0"/>
        <v>2005</v>
      </c>
      <c r="C38" s="334"/>
      <c r="D38" s="341"/>
      <c r="E38" s="334">
        <f>'[4]4.4'!E38</f>
        <v>15229</v>
      </c>
      <c r="F38" s="334">
        <f>'[4]4.4'!F38</f>
        <v>5006</v>
      </c>
      <c r="G38" s="334">
        <f>'[4]4.4'!G38</f>
        <v>20235</v>
      </c>
      <c r="K38" s="2"/>
    </row>
    <row r="39" spans="1:11" x14ac:dyDescent="0.2">
      <c r="A39" t="str">
        <f t="shared" si="0"/>
        <v>2006</v>
      </c>
      <c r="C39" s="334"/>
      <c r="D39" s="341"/>
      <c r="E39" s="334">
        <f>'[4]4.4'!E39</f>
        <v>860</v>
      </c>
      <c r="F39" s="334">
        <f>'[4]4.4'!F39</f>
        <v>250</v>
      </c>
      <c r="G39" s="334">
        <f>'[4]4.4'!G39</f>
        <v>1110</v>
      </c>
      <c r="K39" s="2"/>
    </row>
    <row r="40" spans="1:11" x14ac:dyDescent="0.2">
      <c r="A40" t="str">
        <f t="shared" si="0"/>
        <v>2007</v>
      </c>
      <c r="C40" s="342"/>
      <c r="D40" s="343"/>
      <c r="E40" s="334">
        <f>'[4]4.4'!E40</f>
        <v>2489</v>
      </c>
      <c r="F40" s="334">
        <f>'[4]4.4'!F40</f>
        <v>2452</v>
      </c>
      <c r="G40" s="334">
        <f>'[4]4.4'!G40</f>
        <v>4941</v>
      </c>
      <c r="K40" s="2"/>
    </row>
    <row r="41" spans="1:11" x14ac:dyDescent="0.2">
      <c r="A41" t="str">
        <f t="shared" si="0"/>
        <v>2008</v>
      </c>
      <c r="C41" s="334">
        <f>'[4]4.4'!C41</f>
        <v>99668</v>
      </c>
      <c r="D41" s="341">
        <f>'[4]4.4'!D41</f>
        <v>1</v>
      </c>
      <c r="E41" s="334">
        <f>'[4]4.4'!E41</f>
        <v>99668</v>
      </c>
      <c r="F41" s="334">
        <f>'[4]4.4'!F41</f>
        <v>246947</v>
      </c>
      <c r="G41" s="334">
        <f>'[4]4.4'!G41</f>
        <v>346615</v>
      </c>
      <c r="K41" s="2"/>
    </row>
    <row r="42" spans="1:11" x14ac:dyDescent="0.2">
      <c r="A42" t="str">
        <f t="shared" si="0"/>
        <v>2009</v>
      </c>
      <c r="B42" s="51"/>
      <c r="C42" s="334">
        <f>'[4]4.4'!C42</f>
        <v>223</v>
      </c>
      <c r="D42" s="341">
        <f>'[4]4.4'!D42</f>
        <v>1</v>
      </c>
      <c r="E42" s="334">
        <f>'[4]4.4'!E42</f>
        <v>223</v>
      </c>
      <c r="F42" s="334">
        <f>'[4]4.4'!F42</f>
        <v>1996</v>
      </c>
      <c r="G42" s="334">
        <f>'[4]4.4'!G42</f>
        <v>2219</v>
      </c>
      <c r="K42" s="2"/>
    </row>
    <row r="43" spans="1:11" x14ac:dyDescent="0.2">
      <c r="A43" t="str">
        <f t="shared" si="0"/>
        <v>2010</v>
      </c>
      <c r="C43" s="334">
        <f>'[4]4.4'!C43</f>
        <v>323</v>
      </c>
      <c r="D43" s="341">
        <f>'[4]4.4'!D43</f>
        <v>1</v>
      </c>
      <c r="E43" s="334">
        <f>'[4]4.4'!E43</f>
        <v>323</v>
      </c>
      <c r="F43" s="334">
        <f>'[4]4.4'!F43</f>
        <v>3951</v>
      </c>
      <c r="G43" s="334">
        <f>'[4]4.4'!G43</f>
        <v>4274</v>
      </c>
      <c r="K43" s="2"/>
    </row>
    <row r="44" spans="1:11" x14ac:dyDescent="0.2">
      <c r="A44" t="str">
        <f t="shared" si="0"/>
        <v>2011</v>
      </c>
      <c r="C44" s="334">
        <f>'[4]4.4'!C44</f>
        <v>725</v>
      </c>
      <c r="D44" s="341">
        <f>'[4]4.4'!D44</f>
        <v>1</v>
      </c>
      <c r="E44" s="334">
        <f>'[4]4.4'!E44</f>
        <v>725</v>
      </c>
      <c r="F44" s="334">
        <f>'[4]4.4'!F44</f>
        <v>14383</v>
      </c>
      <c r="G44" s="334">
        <f>'[4]4.4'!G44</f>
        <v>15108</v>
      </c>
      <c r="K44" s="2"/>
    </row>
    <row r="45" spans="1:11" x14ac:dyDescent="0.2">
      <c r="A45" t="str">
        <f t="shared" si="0"/>
        <v>2012</v>
      </c>
      <c r="B45" s="51"/>
      <c r="C45" s="334">
        <f>'[4]4.4'!C45</f>
        <v>869</v>
      </c>
      <c r="D45" s="341">
        <f>'[4]4.4'!D45</f>
        <v>1</v>
      </c>
      <c r="E45" s="334">
        <f>'[4]4.4'!E45</f>
        <v>869</v>
      </c>
      <c r="F45" s="334">
        <f>'[4]4.4'!F45</f>
        <v>14964</v>
      </c>
      <c r="G45" s="334">
        <f>'[4]4.4'!G45</f>
        <v>15833</v>
      </c>
      <c r="K45" s="2"/>
    </row>
    <row r="46" spans="1:11" x14ac:dyDescent="0.2">
      <c r="A46" t="str">
        <f t="shared" si="0"/>
        <v>2013</v>
      </c>
      <c r="C46" s="334">
        <f>'[4]4.4'!C46</f>
        <v>901</v>
      </c>
      <c r="D46" s="341">
        <f>'[4]4.4'!D46</f>
        <v>1</v>
      </c>
      <c r="E46" s="334">
        <f>'[4]4.4'!E46</f>
        <v>901</v>
      </c>
      <c r="F46" s="334">
        <f>'[4]4.4'!F46</f>
        <v>12938</v>
      </c>
      <c r="G46" s="334">
        <f>'[4]4.4'!G46</f>
        <v>13839</v>
      </c>
      <c r="K46" s="2"/>
    </row>
    <row r="47" spans="1:11" x14ac:dyDescent="0.2">
      <c r="A47" t="str">
        <f t="shared" si="0"/>
        <v>2014</v>
      </c>
      <c r="B47" s="50"/>
      <c r="C47" s="334">
        <f>'[4]4.4'!C47</f>
        <v>1028</v>
      </c>
      <c r="D47" s="341">
        <f>'[4]4.4'!D47</f>
        <v>1</v>
      </c>
      <c r="E47" s="334">
        <f>'[4]4.4'!E47</f>
        <v>1028</v>
      </c>
      <c r="F47" s="334">
        <f>'[4]4.4'!F47</f>
        <v>5797</v>
      </c>
      <c r="G47" s="334">
        <f>'[4]4.4'!G47</f>
        <v>6825</v>
      </c>
      <c r="K47" s="2"/>
    </row>
    <row r="48" spans="1:11" x14ac:dyDescent="0.2">
      <c r="A48" t="str">
        <f t="shared" si="0"/>
        <v>2015</v>
      </c>
      <c r="B48" s="50"/>
      <c r="C48" s="334">
        <f>'[4]4.4'!C48</f>
        <v>2847</v>
      </c>
      <c r="D48" s="341">
        <f>'[4]4.4'!D48</f>
        <v>1</v>
      </c>
      <c r="E48" s="334">
        <f>'[4]4.4'!E48</f>
        <v>2847</v>
      </c>
      <c r="F48" s="334">
        <f>'[4]4.4'!F48</f>
        <v>37143</v>
      </c>
      <c r="G48" s="334">
        <f>'[4]4.4'!G48</f>
        <v>39990</v>
      </c>
      <c r="K48" s="2"/>
    </row>
    <row r="49" spans="1:11" x14ac:dyDescent="0.2">
      <c r="A49" t="str">
        <f t="shared" si="0"/>
        <v>2016</v>
      </c>
      <c r="C49" s="334">
        <f>'[4]4.4'!C49</f>
        <v>524</v>
      </c>
      <c r="D49" s="341">
        <f>'[4]4.4'!D49</f>
        <v>0.98</v>
      </c>
      <c r="E49" s="334">
        <f>'[4]4.4'!E49</f>
        <v>514</v>
      </c>
      <c r="F49" s="334">
        <f>'[4]4.4'!F49</f>
        <v>14884</v>
      </c>
      <c r="G49" s="334">
        <f>'[4]4.4'!G49</f>
        <v>15398</v>
      </c>
      <c r="K49" s="2"/>
    </row>
    <row r="50" spans="1:11" x14ac:dyDescent="0.2">
      <c r="A50" s="50" t="str">
        <f t="shared" si="0"/>
        <v>2017</v>
      </c>
      <c r="B50" s="50"/>
      <c r="C50" s="334">
        <f>'[4]4.4'!C50</f>
        <v>17745</v>
      </c>
      <c r="D50" s="341">
        <f>'[4]4.4'!D50</f>
        <v>0.95699999999999996</v>
      </c>
      <c r="E50" s="334">
        <f>'[4]4.4'!E50</f>
        <v>16982</v>
      </c>
      <c r="F50" s="334">
        <f>'[4]4.4'!F50</f>
        <v>264419</v>
      </c>
      <c r="G50" s="334">
        <f>'[4]4.4'!G50</f>
        <v>281401</v>
      </c>
      <c r="K50" s="2"/>
    </row>
    <row r="51" spans="1:11" x14ac:dyDescent="0.2">
      <c r="A51" s="50" t="str">
        <f t="shared" si="0"/>
        <v>2018</v>
      </c>
      <c r="B51" s="50"/>
      <c r="C51" s="334">
        <f>'[4]4.4'!C51</f>
        <v>319</v>
      </c>
      <c r="D51" s="341">
        <f>'[4]4.4'!D51</f>
        <v>0.92</v>
      </c>
      <c r="E51" s="334">
        <f>'[4]4.4'!E51</f>
        <v>293</v>
      </c>
      <c r="F51" s="334">
        <f>'[4]4.4'!F51</f>
        <v>6370</v>
      </c>
      <c r="G51" s="334">
        <f>'[4]4.4'!G51</f>
        <v>6663</v>
      </c>
      <c r="K51" s="2"/>
    </row>
    <row r="52" spans="1:11" x14ac:dyDescent="0.2">
      <c r="A52" s="50" t="str">
        <f t="shared" si="0"/>
        <v>2019</v>
      </c>
      <c r="B52" s="50"/>
      <c r="C52" s="334">
        <f>'[4]4.4'!C52</f>
        <v>706</v>
      </c>
      <c r="D52" s="341">
        <f>'[4]4.4'!D52</f>
        <v>0.93</v>
      </c>
      <c r="E52" s="334">
        <f>'[4]4.4'!E52</f>
        <v>657</v>
      </c>
      <c r="F52" s="334">
        <f>'[4]4.4'!F52</f>
        <v>8700</v>
      </c>
      <c r="G52" s="334">
        <f>'[4]4.4'!G52</f>
        <v>9357</v>
      </c>
      <c r="K52" s="2"/>
    </row>
    <row r="53" spans="1:11" x14ac:dyDescent="0.2">
      <c r="A53" s="50" t="str">
        <f t="shared" si="0"/>
        <v>2020</v>
      </c>
      <c r="B53" s="50"/>
      <c r="C53" s="334">
        <f>'[4]4.4'!C53</f>
        <v>1654</v>
      </c>
      <c r="D53" s="341">
        <f>'[4]4.4'!D53</f>
        <v>1.1419999999999999</v>
      </c>
      <c r="E53" s="334">
        <f>'[4]4.4'!E53</f>
        <v>1889</v>
      </c>
      <c r="F53" s="334">
        <f>'[4]4.4'!F53</f>
        <v>26139</v>
      </c>
      <c r="G53" s="334">
        <f>'[4]4.4'!G53</f>
        <v>28028</v>
      </c>
      <c r="K53" s="2"/>
    </row>
    <row r="54" spans="1:11" x14ac:dyDescent="0.2">
      <c r="A54" s="50" t="str">
        <f t="shared" si="0"/>
        <v>2021</v>
      </c>
      <c r="B54" s="50"/>
      <c r="C54" s="334">
        <f>'[4]4.4'!C54</f>
        <v>776</v>
      </c>
      <c r="D54" s="341">
        <f>'[4]4.4'!D54</f>
        <v>1.7130000000000001</v>
      </c>
      <c r="E54" s="334">
        <f>'[4]4.4'!E54</f>
        <v>1329</v>
      </c>
      <c r="F54" s="334">
        <f>'[4]4.4'!F54</f>
        <v>20842</v>
      </c>
      <c r="G54" s="334">
        <f>'[4]4.4'!G54</f>
        <v>22171</v>
      </c>
      <c r="K54" s="2"/>
    </row>
    <row r="55" spans="1:11" x14ac:dyDescent="0.2">
      <c r="A55" s="313"/>
      <c r="B55" s="313"/>
      <c r="C55" s="313"/>
      <c r="D55" s="313"/>
      <c r="E55" s="313"/>
      <c r="F55" s="313"/>
      <c r="G55" s="313"/>
      <c r="K55" s="2"/>
    </row>
    <row r="56" spans="1:11" x14ac:dyDescent="0.2">
      <c r="A56" t="s">
        <v>17</v>
      </c>
      <c r="D56" s="22"/>
      <c r="K56" s="2"/>
    </row>
    <row r="57" spans="1:11" x14ac:dyDescent="0.2">
      <c r="B57" s="22" t="str">
        <f>C12&amp;" "&amp;'4.5AS LAE Dev'!$K$1&amp;", "&amp;'4.5AS LAE Dev'!$K$2</f>
        <v>(2) Exhibit 4, Sheet 5</v>
      </c>
      <c r="K57" s="2"/>
    </row>
    <row r="58" spans="1:11" x14ac:dyDescent="0.2">
      <c r="B58" s="22" t="str">
        <f>D12&amp;" "&amp;'4.5AS LAE Dev'!$K$1&amp;", "&amp;'4.5AS LAE Dev'!$K$2</f>
        <v>(3) Exhibit 4, Sheet 5</v>
      </c>
      <c r="K58" s="2"/>
    </row>
    <row r="59" spans="1:11" x14ac:dyDescent="0.2">
      <c r="B59" s="22" t="str">
        <f>'[4]4.4'!B58</f>
        <v>(3) Exhibit 4, Sheet 5</v>
      </c>
      <c r="K59" s="2"/>
    </row>
    <row r="60" spans="1:11" x14ac:dyDescent="0.2">
      <c r="B60" s="22" t="str">
        <f>F12&amp;" From TWIA's annual statements"</f>
        <v>(5) From TWIA's annual statements</v>
      </c>
      <c r="K60" s="2"/>
    </row>
    <row r="61" spans="1:11" x14ac:dyDescent="0.2">
      <c r="B61" s="22" t="str">
        <f>'[4]4.4'!B60</f>
        <v>(5) From TWIA's annual statements</v>
      </c>
      <c r="C61" s="19"/>
      <c r="F61" s="45"/>
      <c r="K61" s="2"/>
    </row>
    <row r="62" spans="1:11" x14ac:dyDescent="0.2">
      <c r="F62" s="45"/>
      <c r="K62" s="2"/>
    </row>
    <row r="63" spans="1:11" x14ac:dyDescent="0.2">
      <c r="C63" s="19"/>
      <c r="D63" s="19"/>
      <c r="E63" s="39"/>
      <c r="F63" s="45"/>
      <c r="K63" s="2"/>
    </row>
    <row r="64" spans="1:11" x14ac:dyDescent="0.2">
      <c r="C64" s="19"/>
      <c r="D64" s="19"/>
      <c r="E64" s="39"/>
      <c r="F64" s="45"/>
      <c r="K64" s="2"/>
    </row>
    <row r="65" spans="1:11" x14ac:dyDescent="0.2">
      <c r="C65" s="19"/>
      <c r="D65" s="19"/>
      <c r="E65" s="39"/>
      <c r="F65" s="45"/>
      <c r="K65" s="2"/>
    </row>
    <row r="66" spans="1:11" x14ac:dyDescent="0.2">
      <c r="C66" s="19"/>
      <c r="D66" s="19"/>
      <c r="E66" s="39"/>
      <c r="F66" s="45"/>
      <c r="K66" s="2"/>
    </row>
    <row r="67" spans="1:11" x14ac:dyDescent="0.2">
      <c r="K67" s="2"/>
    </row>
    <row r="68" spans="1:11" x14ac:dyDescent="0.2">
      <c r="K68" s="2"/>
    </row>
    <row r="69" spans="1:11" x14ac:dyDescent="0.2">
      <c r="K69" s="2"/>
    </row>
    <row r="70" spans="1:11" x14ac:dyDescent="0.2">
      <c r="K70" s="2"/>
    </row>
    <row r="71" spans="1:11" ht="10.5" thickBot="1" x14ac:dyDescent="0.25">
      <c r="K71" s="2"/>
    </row>
    <row r="72" spans="1:11" ht="10.5" thickBot="1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5">
    <tabColor rgb="FF92D050"/>
  </sheetPr>
  <dimension ref="A1:P71"/>
  <sheetViews>
    <sheetView showGridLines="0" topLeftCell="A55" workbookViewId="0"/>
  </sheetViews>
  <sheetFormatPr defaultColWidth="11.33203125" defaultRowHeight="10" x14ac:dyDescent="0.2"/>
  <cols>
    <col min="1" max="1" width="2.44140625" bestFit="1" customWidth="1"/>
    <col min="2" max="2" width="11.33203125" customWidth="1"/>
    <col min="3" max="10" width="12.6640625" customWidth="1"/>
    <col min="11" max="11" width="4.6640625" customWidth="1"/>
  </cols>
  <sheetData>
    <row r="1" spans="1:16" ht="10.5" x14ac:dyDescent="0.25">
      <c r="A1" s="8" t="str">
        <f>'1'!$A$1</f>
        <v>Texas Windstorm Insurance Association</v>
      </c>
      <c r="B1" s="12"/>
      <c r="J1" s="50"/>
      <c r="K1" s="7" t="s">
        <v>75</v>
      </c>
      <c r="L1" s="1"/>
      <c r="O1" t="s">
        <v>428</v>
      </c>
      <c r="P1" t="s">
        <v>445</v>
      </c>
    </row>
    <row r="2" spans="1:16" ht="10.5" x14ac:dyDescent="0.25">
      <c r="A2" s="8" t="str">
        <f>'1'!$A$2</f>
        <v>Residential Property - Wind &amp; Hail</v>
      </c>
      <c r="B2" s="12"/>
      <c r="J2" s="50"/>
      <c r="K2" s="7" t="s">
        <v>94</v>
      </c>
      <c r="L2" s="2"/>
      <c r="O2" t="s">
        <v>428</v>
      </c>
      <c r="P2" t="s">
        <v>446</v>
      </c>
    </row>
    <row r="3" spans="1:16" ht="10.5" x14ac:dyDescent="0.25">
      <c r="A3" s="8" t="str">
        <f>'1'!$A$3</f>
        <v>Rate Level Review</v>
      </c>
      <c r="B3" s="12"/>
      <c r="J3" s="50"/>
      <c r="L3" s="2"/>
    </row>
    <row r="4" spans="1:16" x14ac:dyDescent="0.2">
      <c r="A4" t="s">
        <v>95</v>
      </c>
      <c r="B4" s="12"/>
      <c r="J4" s="50"/>
      <c r="L4" s="2"/>
    </row>
    <row r="5" spans="1:16" x14ac:dyDescent="0.2">
      <c r="A5" t="s">
        <v>96</v>
      </c>
      <c r="B5" s="12"/>
      <c r="J5" s="50"/>
      <c r="L5" s="2"/>
    </row>
    <row r="6" spans="1:16" x14ac:dyDescent="0.2">
      <c r="J6" s="50"/>
      <c r="L6" s="2"/>
    </row>
    <row r="7" spans="1:16" ht="10.5" thickBot="1" x14ac:dyDescent="0.25">
      <c r="A7" s="6"/>
      <c r="B7" s="6"/>
      <c r="C7" s="6"/>
      <c r="D7" s="6"/>
      <c r="E7" s="6"/>
      <c r="F7" s="6"/>
      <c r="G7" s="6"/>
      <c r="H7" s="6"/>
      <c r="I7" s="6"/>
      <c r="J7" s="50"/>
      <c r="L7" s="2"/>
    </row>
    <row r="8" spans="1:16" ht="10.5" thickTop="1" x14ac:dyDescent="0.2">
      <c r="J8" s="50"/>
      <c r="L8" s="2"/>
    </row>
    <row r="9" spans="1:16" x14ac:dyDescent="0.2">
      <c r="C9" s="24" t="s">
        <v>68</v>
      </c>
      <c r="J9" s="50"/>
      <c r="L9" s="2"/>
      <c r="M9" s="27"/>
    </row>
    <row r="10" spans="1:16" x14ac:dyDescent="0.2">
      <c r="A10" t="s">
        <v>53</v>
      </c>
      <c r="J10" s="50"/>
      <c r="L10" s="2"/>
      <c r="M10" t="s">
        <v>69</v>
      </c>
    </row>
    <row r="11" spans="1:16" x14ac:dyDescent="0.2">
      <c r="A11" s="9" t="s">
        <v>54</v>
      </c>
      <c r="B11" s="9"/>
      <c r="C11" s="26">
        <f>$M$11</f>
        <v>12</v>
      </c>
      <c r="D11" s="26">
        <f t="shared" ref="D11:I11" si="0">C11+12</f>
        <v>24</v>
      </c>
      <c r="E11" s="26">
        <f t="shared" si="0"/>
        <v>36</v>
      </c>
      <c r="F11" s="26">
        <f t="shared" si="0"/>
        <v>48</v>
      </c>
      <c r="G11" s="26">
        <f t="shared" si="0"/>
        <v>60</v>
      </c>
      <c r="H11" s="26">
        <f t="shared" si="0"/>
        <v>72</v>
      </c>
      <c r="I11" s="26">
        <f t="shared" si="0"/>
        <v>84</v>
      </c>
      <c r="J11" s="51"/>
      <c r="L11" s="2"/>
      <c r="M11" s="80">
        <f>'[5]4.5'!L11</f>
        <v>12</v>
      </c>
    </row>
    <row r="12" spans="1:16" x14ac:dyDescent="0.2">
      <c r="A12" s="13" t="str">
        <f>TEXT(COLUMN(),"(#)")</f>
        <v>(1)</v>
      </c>
      <c r="B12" s="13"/>
      <c r="C12" s="11" t="str">
        <f t="shared" ref="C12:I12" si="1">TEXT(COLUMN()-1,"(#)")</f>
        <v>(2)</v>
      </c>
      <c r="D12" s="11" t="str">
        <f t="shared" si="1"/>
        <v>(3)</v>
      </c>
      <c r="E12" s="11" t="str">
        <f t="shared" si="1"/>
        <v>(4)</v>
      </c>
      <c r="F12" s="11" t="str">
        <f t="shared" si="1"/>
        <v>(5)</v>
      </c>
      <c r="G12" s="11" t="str">
        <f t="shared" si="1"/>
        <v>(6)</v>
      </c>
      <c r="H12" s="11" t="str">
        <f t="shared" si="1"/>
        <v>(7)</v>
      </c>
      <c r="I12" s="11" t="str">
        <f t="shared" si="1"/>
        <v>(8)</v>
      </c>
      <c r="J12" s="113"/>
      <c r="L12" s="2"/>
    </row>
    <row r="13" spans="1:16" x14ac:dyDescent="0.2">
      <c r="J13" s="50"/>
      <c r="L13" s="2"/>
    </row>
    <row r="14" spans="1:16" x14ac:dyDescent="0.2">
      <c r="A14" t="str">
        <f t="shared" ref="A14:A23" si="2">TEXT(A15-1,"#")</f>
        <v>2011</v>
      </c>
      <c r="B14" s="25"/>
      <c r="C14" s="334">
        <f>'[4]4.5'!C14</f>
        <v>515</v>
      </c>
      <c r="D14" s="334">
        <f>'[4]4.5'!D14</f>
        <v>592</v>
      </c>
      <c r="E14" s="334">
        <f>'[4]4.5'!E14</f>
        <v>609</v>
      </c>
      <c r="F14" s="334">
        <f>'[4]4.5'!F14</f>
        <v>682</v>
      </c>
      <c r="G14" s="334">
        <f>'[4]4.5'!G14</f>
        <v>629</v>
      </c>
      <c r="H14" s="334">
        <f>'[4]4.5'!H14</f>
        <v>745</v>
      </c>
      <c r="I14" s="334">
        <f>'[4]4.5'!I14</f>
        <v>725</v>
      </c>
      <c r="J14" s="100"/>
      <c r="L14" s="2"/>
    </row>
    <row r="15" spans="1:16" x14ac:dyDescent="0.2">
      <c r="A15" t="str">
        <f t="shared" si="2"/>
        <v>2012</v>
      </c>
      <c r="B15" s="25"/>
      <c r="C15" s="334">
        <f>'[4]4.5'!C15</f>
        <v>516</v>
      </c>
      <c r="D15" s="334">
        <f>'[4]4.5'!D15</f>
        <v>679</v>
      </c>
      <c r="E15" s="334">
        <f>'[4]4.5'!E15</f>
        <v>719</v>
      </c>
      <c r="F15" s="334">
        <f>'[4]4.5'!F15</f>
        <v>632</v>
      </c>
      <c r="G15" s="334">
        <f>'[4]4.5'!G15</f>
        <v>917</v>
      </c>
      <c r="H15" s="334">
        <f>'[4]4.5'!H15</f>
        <v>880</v>
      </c>
      <c r="I15" s="334">
        <f>'[4]4.5'!I15</f>
        <v>869</v>
      </c>
      <c r="J15" s="100"/>
      <c r="L15" s="2"/>
    </row>
    <row r="16" spans="1:16" x14ac:dyDescent="0.2">
      <c r="A16" t="str">
        <f t="shared" si="2"/>
        <v>2013</v>
      </c>
      <c r="B16" s="25"/>
      <c r="C16" s="334">
        <f>'[4]4.5'!C16</f>
        <v>802</v>
      </c>
      <c r="D16" s="334">
        <f>'[4]4.5'!D16</f>
        <v>806</v>
      </c>
      <c r="E16" s="334">
        <f>'[4]4.5'!E16</f>
        <v>715</v>
      </c>
      <c r="F16" s="334">
        <f>'[4]4.5'!F16</f>
        <v>1089</v>
      </c>
      <c r="G16" s="334">
        <f>'[4]4.5'!G16</f>
        <v>991</v>
      </c>
      <c r="H16" s="334">
        <f>'[4]4.5'!H16</f>
        <v>971</v>
      </c>
      <c r="I16" s="334">
        <f>'[4]4.5'!I16</f>
        <v>901</v>
      </c>
      <c r="J16" s="100"/>
      <c r="L16" s="2"/>
    </row>
    <row r="17" spans="1:13" x14ac:dyDescent="0.2">
      <c r="A17" t="str">
        <f t="shared" si="2"/>
        <v>2014</v>
      </c>
      <c r="B17" s="25"/>
      <c r="C17" s="334">
        <f>'[4]4.5'!C17</f>
        <v>516</v>
      </c>
      <c r="D17" s="334">
        <f>'[4]4.5'!D17</f>
        <v>493</v>
      </c>
      <c r="E17" s="334">
        <f>'[4]4.5'!E17</f>
        <v>1085</v>
      </c>
      <c r="F17" s="334">
        <f>'[4]4.5'!F17</f>
        <v>1266</v>
      </c>
      <c r="G17" s="334">
        <f>'[4]4.5'!G17</f>
        <v>1077</v>
      </c>
      <c r="H17" s="334">
        <f>'[4]4.5'!H17</f>
        <v>1028</v>
      </c>
      <c r="I17" s="334">
        <f>'[4]4.5'!I17</f>
        <v>1028</v>
      </c>
      <c r="J17" s="100"/>
      <c r="L17" s="2"/>
    </row>
    <row r="18" spans="1:13" x14ac:dyDescent="0.2">
      <c r="A18" t="str">
        <f t="shared" si="2"/>
        <v>2015</v>
      </c>
      <c r="B18" s="25"/>
      <c r="C18" s="334">
        <f>'[4]4.5'!C18</f>
        <v>973</v>
      </c>
      <c r="D18" s="334">
        <f>'[4]4.5'!D18</f>
        <v>1818</v>
      </c>
      <c r="E18" s="334">
        <f>'[4]4.5'!E18</f>
        <v>2355</v>
      </c>
      <c r="F18" s="334">
        <f>'[4]4.5'!F18</f>
        <v>2749</v>
      </c>
      <c r="G18" s="334">
        <f>'[4]4.5'!G18</f>
        <v>2944</v>
      </c>
      <c r="H18" s="334">
        <f>'[4]4.5'!H18</f>
        <v>2838</v>
      </c>
      <c r="I18" s="334">
        <f>'[4]4.5'!I18</f>
        <v>2847</v>
      </c>
      <c r="J18" s="100"/>
      <c r="L18" s="2"/>
    </row>
    <row r="19" spans="1:13" x14ac:dyDescent="0.2">
      <c r="A19" t="str">
        <f t="shared" si="2"/>
        <v>2016</v>
      </c>
      <c r="B19" s="25"/>
      <c r="C19" s="334">
        <f>'[4]4.5'!C19</f>
        <v>412</v>
      </c>
      <c r="D19" s="334">
        <f>'[4]4.5'!D19</f>
        <v>678</v>
      </c>
      <c r="E19" s="334">
        <f>'[4]4.5'!E19</f>
        <v>746</v>
      </c>
      <c r="F19" s="334">
        <f>'[4]4.5'!F19</f>
        <v>571</v>
      </c>
      <c r="G19" s="334">
        <f>'[4]4.5'!G19</f>
        <v>542</v>
      </c>
      <c r="H19" s="334">
        <f>'[4]4.5'!H19</f>
        <v>524</v>
      </c>
      <c r="I19" s="334"/>
      <c r="J19" s="100"/>
      <c r="L19" s="2"/>
    </row>
    <row r="20" spans="1:13" x14ac:dyDescent="0.2">
      <c r="A20" t="str">
        <f t="shared" si="2"/>
        <v>2017</v>
      </c>
      <c r="B20" s="25"/>
      <c r="C20" s="334">
        <f>'[4]4.5'!C20</f>
        <v>891</v>
      </c>
      <c r="D20" s="334">
        <f>'[4]4.5'!D20</f>
        <v>16490</v>
      </c>
      <c r="E20" s="334">
        <f>'[4]4.5'!E20</f>
        <v>21865</v>
      </c>
      <c r="F20" s="334">
        <f>'[4]4.5'!F20</f>
        <v>21700</v>
      </c>
      <c r="G20" s="334">
        <f>'[4]4.5'!G20</f>
        <v>17745</v>
      </c>
      <c r="H20" s="334"/>
      <c r="I20" s="334"/>
      <c r="J20" s="100"/>
      <c r="L20" s="2"/>
    </row>
    <row r="21" spans="1:13" x14ac:dyDescent="0.2">
      <c r="A21" t="str">
        <f t="shared" si="2"/>
        <v>2018</v>
      </c>
      <c r="B21" s="25"/>
      <c r="C21" s="334">
        <f>'[4]4.5'!C21</f>
        <v>301</v>
      </c>
      <c r="D21" s="334">
        <f>'[4]4.5'!D21</f>
        <v>361</v>
      </c>
      <c r="E21" s="334">
        <f>'[4]4.5'!E21</f>
        <v>352</v>
      </c>
      <c r="F21" s="334">
        <f>'[4]4.5'!F21</f>
        <v>319</v>
      </c>
      <c r="G21" s="334"/>
      <c r="H21" s="334"/>
      <c r="I21" s="334"/>
      <c r="J21" s="100"/>
      <c r="L21" s="2"/>
    </row>
    <row r="22" spans="1:13" x14ac:dyDescent="0.2">
      <c r="A22" t="str">
        <f t="shared" si="2"/>
        <v>2019</v>
      </c>
      <c r="B22" s="25"/>
      <c r="C22" s="334">
        <f>'[4]4.5'!C22</f>
        <v>48</v>
      </c>
      <c r="D22" s="334">
        <f>'[4]4.5'!D22</f>
        <v>471</v>
      </c>
      <c r="E22" s="334">
        <f>'[4]4.5'!E22</f>
        <v>706</v>
      </c>
      <c r="F22" s="334"/>
      <c r="G22" s="334"/>
      <c r="H22" s="334"/>
      <c r="I22" s="334"/>
      <c r="J22" s="100"/>
      <c r="L22" s="2"/>
      <c r="M22" t="s">
        <v>219</v>
      </c>
    </row>
    <row r="23" spans="1:13" x14ac:dyDescent="0.2">
      <c r="A23" s="50" t="str">
        <f t="shared" si="2"/>
        <v>2020</v>
      </c>
      <c r="B23" s="51"/>
      <c r="C23" s="334">
        <f>'[4]4.5'!C23</f>
        <v>295</v>
      </c>
      <c r="D23" s="334">
        <f>'[4]4.5'!D23</f>
        <v>1654</v>
      </c>
      <c r="E23" s="334"/>
      <c r="F23" s="334"/>
      <c r="G23" s="334"/>
      <c r="H23" s="334"/>
      <c r="I23" s="334"/>
      <c r="J23" s="100"/>
      <c r="L23" s="2"/>
      <c r="M23" s="83">
        <f>'[4]4.5'!$L$23</f>
        <v>44561</v>
      </c>
    </row>
    <row r="24" spans="1:13" x14ac:dyDescent="0.2">
      <c r="A24" s="50" t="str">
        <f>TEXT(YEAR($M$23),"#")</f>
        <v>2021</v>
      </c>
      <c r="B24" s="51"/>
      <c r="C24" s="334">
        <f>'[4]4.5'!C24</f>
        <v>776</v>
      </c>
      <c r="D24" s="334"/>
      <c r="E24" s="334"/>
      <c r="F24" s="334"/>
      <c r="G24" s="334"/>
      <c r="H24" s="334"/>
      <c r="I24" s="334"/>
      <c r="J24" s="100"/>
      <c r="L24" s="2"/>
      <c r="M24" s="83"/>
    </row>
    <row r="25" spans="1:13" x14ac:dyDescent="0.2">
      <c r="A25" s="9"/>
      <c r="B25" s="9"/>
      <c r="C25" s="9"/>
      <c r="D25" s="9"/>
      <c r="E25" s="9"/>
      <c r="F25" s="9"/>
      <c r="G25" s="9"/>
      <c r="H25" s="9"/>
      <c r="I25" s="9"/>
      <c r="J25" s="50"/>
      <c r="L25" s="2"/>
    </row>
    <row r="26" spans="1:13" x14ac:dyDescent="0.2">
      <c r="J26" s="50"/>
      <c r="L26" s="2"/>
    </row>
    <row r="27" spans="1:13" x14ac:dyDescent="0.2">
      <c r="B27" s="22"/>
      <c r="C27" s="24" t="s">
        <v>70</v>
      </c>
      <c r="J27" s="50"/>
      <c r="L27" s="2"/>
    </row>
    <row r="28" spans="1:13" x14ac:dyDescent="0.2">
      <c r="A28" t="s">
        <v>53</v>
      </c>
      <c r="J28" s="50"/>
      <c r="L28" s="2"/>
    </row>
    <row r="29" spans="1:13" x14ac:dyDescent="0.2">
      <c r="A29" s="9" t="s">
        <v>54</v>
      </c>
      <c r="B29" s="9"/>
      <c r="C29" s="9" t="str">
        <f t="shared" ref="C29:H29" si="3">C11&amp;" - "&amp;D11</f>
        <v>12 - 24</v>
      </c>
      <c r="D29" s="9" t="str">
        <f t="shared" si="3"/>
        <v>24 - 36</v>
      </c>
      <c r="E29" s="9" t="str">
        <f t="shared" si="3"/>
        <v>36 - 48</v>
      </c>
      <c r="F29" s="9" t="str">
        <f t="shared" si="3"/>
        <v>48 - 60</v>
      </c>
      <c r="G29" s="9" t="str">
        <f t="shared" si="3"/>
        <v>60 - 72</v>
      </c>
      <c r="H29" s="9" t="str">
        <f t="shared" si="3"/>
        <v>72 - 84</v>
      </c>
      <c r="I29" s="9" t="str">
        <f>I11&amp;" - Ult"</f>
        <v>84 - Ult</v>
      </c>
      <c r="J29" s="50"/>
      <c r="L29" s="2"/>
    </row>
    <row r="30" spans="1:13" x14ac:dyDescent="0.2">
      <c r="A30" s="13" t="str">
        <f>TEXT(COLUMN(),"(#)")</f>
        <v>(1)</v>
      </c>
      <c r="B30" s="13"/>
      <c r="C30" s="11" t="str">
        <f t="shared" ref="C30:I30" si="4">TEXT(COLUMN()-1,"(#)")</f>
        <v>(2)</v>
      </c>
      <c r="D30" s="11" t="str">
        <f t="shared" si="4"/>
        <v>(3)</v>
      </c>
      <c r="E30" s="11" t="str">
        <f t="shared" si="4"/>
        <v>(4)</v>
      </c>
      <c r="F30" s="11" t="str">
        <f t="shared" si="4"/>
        <v>(5)</v>
      </c>
      <c r="G30" s="11" t="str">
        <f t="shared" si="4"/>
        <v>(6)</v>
      </c>
      <c r="H30" s="11" t="str">
        <f t="shared" si="4"/>
        <v>(7)</v>
      </c>
      <c r="I30" s="11" t="str">
        <f t="shared" si="4"/>
        <v>(8)</v>
      </c>
      <c r="J30" s="113"/>
      <c r="L30" s="2"/>
    </row>
    <row r="31" spans="1:13" x14ac:dyDescent="0.2">
      <c r="J31" s="50"/>
      <c r="L31" s="2"/>
    </row>
    <row r="32" spans="1:13" x14ac:dyDescent="0.2">
      <c r="A32" t="str">
        <f t="shared" ref="A32:A41" si="5">A14</f>
        <v>2011</v>
      </c>
      <c r="B32" s="25"/>
      <c r="C32" s="39">
        <f t="shared" ref="C32:H40" si="6">IF(ISNUMBER(D14),D14/C14,"")</f>
        <v>1.149514563106796</v>
      </c>
      <c r="D32" s="39">
        <f t="shared" si="6"/>
        <v>1.0287162162162162</v>
      </c>
      <c r="E32" s="39">
        <f t="shared" si="6"/>
        <v>1.1198686371100164</v>
      </c>
      <c r="F32" s="39">
        <f t="shared" si="6"/>
        <v>0.92228739002932547</v>
      </c>
      <c r="G32" s="39">
        <f t="shared" si="6"/>
        <v>1.1844197138314785</v>
      </c>
      <c r="H32" s="39">
        <f t="shared" si="6"/>
        <v>0.97315436241610742</v>
      </c>
      <c r="I32" s="39" t="str">
        <f>IF(ISNUMBER(#REF!),#REF!/I14,"")</f>
        <v/>
      </c>
      <c r="J32" s="157"/>
      <c r="L32" s="2"/>
    </row>
    <row r="33" spans="1:12" x14ac:dyDescent="0.2">
      <c r="A33" t="str">
        <f t="shared" si="5"/>
        <v>2012</v>
      </c>
      <c r="B33" s="25"/>
      <c r="C33" s="39">
        <f t="shared" si="6"/>
        <v>1.3158914728682169</v>
      </c>
      <c r="D33" s="39">
        <f t="shared" si="6"/>
        <v>1.0589101620029455</v>
      </c>
      <c r="E33" s="39">
        <f t="shared" si="6"/>
        <v>0.87899860917941586</v>
      </c>
      <c r="F33" s="39">
        <f t="shared" si="6"/>
        <v>1.4509493670886076</v>
      </c>
      <c r="G33" s="39">
        <f t="shared" si="6"/>
        <v>0.95965103598691381</v>
      </c>
      <c r="H33" s="39">
        <f t="shared" si="6"/>
        <v>0.98750000000000004</v>
      </c>
      <c r="I33" s="39" t="str">
        <f>IF(ISNUMBER(#REF!),#REF!/I15,"")</f>
        <v/>
      </c>
      <c r="J33" s="157"/>
      <c r="L33" s="2"/>
    </row>
    <row r="34" spans="1:12" x14ac:dyDescent="0.2">
      <c r="A34" t="str">
        <f t="shared" si="5"/>
        <v>2013</v>
      </c>
      <c r="B34" s="25"/>
      <c r="C34" s="39">
        <f t="shared" si="6"/>
        <v>1.0049875311720697</v>
      </c>
      <c r="D34" s="39">
        <f t="shared" si="6"/>
        <v>0.88709677419354838</v>
      </c>
      <c r="E34" s="39">
        <f t="shared" si="6"/>
        <v>1.523076923076923</v>
      </c>
      <c r="F34" s="39">
        <f t="shared" si="6"/>
        <v>0.91000918273645548</v>
      </c>
      <c r="G34" s="39">
        <f t="shared" si="6"/>
        <v>0.97981836528758826</v>
      </c>
      <c r="H34" s="39">
        <f t="shared" si="6"/>
        <v>0.92790937178166844</v>
      </c>
      <c r="I34" s="39" t="str">
        <f>IF(ISNUMBER(#REF!),#REF!/I16,"")</f>
        <v/>
      </c>
      <c r="J34" s="157"/>
      <c r="L34" s="2"/>
    </row>
    <row r="35" spans="1:12" x14ac:dyDescent="0.2">
      <c r="A35" t="str">
        <f t="shared" si="5"/>
        <v>2014</v>
      </c>
      <c r="B35" s="25"/>
      <c r="C35" s="39">
        <f t="shared" si="6"/>
        <v>0.95542635658914732</v>
      </c>
      <c r="D35" s="39">
        <f t="shared" si="6"/>
        <v>2.2008113590263694</v>
      </c>
      <c r="E35" s="39">
        <f t="shared" si="6"/>
        <v>1.1668202764976958</v>
      </c>
      <c r="F35" s="39">
        <f t="shared" si="6"/>
        <v>0.85071090047393361</v>
      </c>
      <c r="G35" s="39">
        <f t="shared" si="6"/>
        <v>0.95450324976787371</v>
      </c>
      <c r="H35" s="39">
        <f t="shared" si="6"/>
        <v>1</v>
      </c>
      <c r="I35" s="39" t="str">
        <f>IF(ISNUMBER(#REF!),#REF!/I17,"")</f>
        <v/>
      </c>
      <c r="J35" s="157"/>
      <c r="L35" s="2"/>
    </row>
    <row r="36" spans="1:12" x14ac:dyDescent="0.2">
      <c r="A36" t="str">
        <f t="shared" si="5"/>
        <v>2015</v>
      </c>
      <c r="B36" s="25"/>
      <c r="C36" s="39">
        <f t="shared" si="6"/>
        <v>1.868448098663926</v>
      </c>
      <c r="D36" s="39">
        <f t="shared" si="6"/>
        <v>1.2953795379537953</v>
      </c>
      <c r="E36" s="39">
        <f t="shared" si="6"/>
        <v>1.1673036093418259</v>
      </c>
      <c r="F36" s="39">
        <f t="shared" si="6"/>
        <v>1.0709348854128775</v>
      </c>
      <c r="G36" s="39">
        <f t="shared" si="6"/>
        <v>0.96399456521739135</v>
      </c>
      <c r="H36" s="39">
        <f t="shared" si="6"/>
        <v>1.0031712473572938</v>
      </c>
      <c r="I36" s="39" t="str">
        <f>IF(ISNUMBER(#REF!),#REF!/I18,"")</f>
        <v/>
      </c>
      <c r="J36" s="157"/>
      <c r="L36" s="2"/>
    </row>
    <row r="37" spans="1:12" x14ac:dyDescent="0.2">
      <c r="A37" t="str">
        <f t="shared" si="5"/>
        <v>2016</v>
      </c>
      <c r="B37" s="25"/>
      <c r="C37" s="39">
        <f t="shared" si="6"/>
        <v>1.645631067961165</v>
      </c>
      <c r="D37" s="39">
        <f t="shared" si="6"/>
        <v>1.1002949852507375</v>
      </c>
      <c r="E37" s="39">
        <f t="shared" si="6"/>
        <v>0.76541554959785518</v>
      </c>
      <c r="F37" s="39">
        <f t="shared" si="6"/>
        <v>0.94921190893169882</v>
      </c>
      <c r="G37" s="39">
        <f t="shared" si="6"/>
        <v>0.96678966789667897</v>
      </c>
      <c r="H37" s="39" t="str">
        <f t="shared" si="6"/>
        <v/>
      </c>
      <c r="I37" s="39" t="str">
        <f>IF(ISNUMBER(#REF!),#REF!/I19,"")</f>
        <v/>
      </c>
      <c r="J37" s="157"/>
      <c r="L37" s="2"/>
    </row>
    <row r="38" spans="1:12" x14ac:dyDescent="0.2">
      <c r="A38" t="str">
        <f t="shared" si="5"/>
        <v>2017</v>
      </c>
      <c r="B38" s="25"/>
      <c r="C38" s="39">
        <f t="shared" si="6"/>
        <v>18.50729517396184</v>
      </c>
      <c r="D38" s="39">
        <f t="shared" si="6"/>
        <v>1.3259551243177683</v>
      </c>
      <c r="E38" s="39">
        <f t="shared" si="6"/>
        <v>0.99245369311685339</v>
      </c>
      <c r="F38" s="39">
        <f t="shared" si="6"/>
        <v>0.81774193548387097</v>
      </c>
      <c r="G38" s="39" t="str">
        <f t="shared" si="6"/>
        <v/>
      </c>
      <c r="H38" s="39" t="str">
        <f t="shared" si="6"/>
        <v/>
      </c>
      <c r="I38" s="39" t="str">
        <f>IF(ISNUMBER(#REF!),#REF!/I20,"")</f>
        <v/>
      </c>
      <c r="J38" s="157"/>
      <c r="L38" s="2"/>
    </row>
    <row r="39" spans="1:12" x14ac:dyDescent="0.2">
      <c r="A39" t="str">
        <f t="shared" si="5"/>
        <v>2018</v>
      </c>
      <c r="B39" s="25"/>
      <c r="C39" s="39">
        <f t="shared" si="6"/>
        <v>1.1993355481727574</v>
      </c>
      <c r="D39" s="39">
        <f t="shared" si="6"/>
        <v>0.97506925207756234</v>
      </c>
      <c r="E39" s="39">
        <f t="shared" si="6"/>
        <v>0.90625</v>
      </c>
      <c r="F39" s="39" t="str">
        <f t="shared" si="6"/>
        <v/>
      </c>
      <c r="G39" s="39" t="str">
        <f t="shared" si="6"/>
        <v/>
      </c>
      <c r="H39" s="39" t="str">
        <f t="shared" si="6"/>
        <v/>
      </c>
      <c r="I39" s="39" t="str">
        <f>IF(ISNUMBER(#REF!),#REF!/I21,"")</f>
        <v/>
      </c>
      <c r="J39" s="157"/>
      <c r="L39" s="2"/>
    </row>
    <row r="40" spans="1:12" x14ac:dyDescent="0.2">
      <c r="A40" s="50" t="str">
        <f t="shared" si="5"/>
        <v>2019</v>
      </c>
      <c r="B40" s="51"/>
      <c r="C40" s="157">
        <f t="shared" si="6"/>
        <v>9.8125</v>
      </c>
      <c r="D40" s="157">
        <f t="shared" si="6"/>
        <v>1.4989384288747345</v>
      </c>
      <c r="E40" s="157" t="str">
        <f t="shared" si="6"/>
        <v/>
      </c>
      <c r="F40" s="157" t="str">
        <f t="shared" si="6"/>
        <v/>
      </c>
      <c r="G40" s="157" t="str">
        <f t="shared" si="6"/>
        <v/>
      </c>
      <c r="H40" s="157" t="str">
        <f t="shared" si="6"/>
        <v/>
      </c>
      <c r="I40" s="157" t="str">
        <f>IF(ISNUMBER(#REF!),#REF!/I22,"")</f>
        <v/>
      </c>
      <c r="J40" s="157"/>
      <c r="L40" s="2"/>
    </row>
    <row r="41" spans="1:12" x14ac:dyDescent="0.2">
      <c r="A41" s="50" t="str">
        <f t="shared" si="5"/>
        <v>2020</v>
      </c>
      <c r="B41" s="51"/>
      <c r="C41" s="157">
        <f>IF(ISNUMBER(D23),D23/C23,"")</f>
        <v>5.6067796610169491</v>
      </c>
      <c r="D41" s="157"/>
      <c r="E41" s="157"/>
      <c r="F41" s="157"/>
      <c r="G41" s="157"/>
      <c r="H41" s="157"/>
      <c r="I41" s="157"/>
      <c r="J41" s="157"/>
      <c r="L41" s="2"/>
    </row>
    <row r="42" spans="1:12" x14ac:dyDescent="0.2">
      <c r="A42" s="9"/>
      <c r="B42" s="26"/>
      <c r="C42" s="40"/>
      <c r="D42" s="40"/>
      <c r="E42" s="40"/>
      <c r="F42" s="40"/>
      <c r="G42" s="40"/>
      <c r="H42" s="40"/>
      <c r="I42" s="40"/>
      <c r="J42" s="50"/>
      <c r="L42" s="2"/>
    </row>
    <row r="43" spans="1:12" x14ac:dyDescent="0.2">
      <c r="J43" s="158"/>
      <c r="L43" s="2"/>
    </row>
    <row r="44" spans="1:12" x14ac:dyDescent="0.2">
      <c r="A44" t="s">
        <v>71</v>
      </c>
      <c r="B44" s="25"/>
      <c r="C44" s="297">
        <f t="shared" ref="C44:H44" si="7">AVERAGE(C32:C41)</f>
        <v>4.3065809473512866</v>
      </c>
      <c r="D44" s="297">
        <f t="shared" si="7"/>
        <v>1.2634635377681864</v>
      </c>
      <c r="E44" s="297">
        <f t="shared" si="7"/>
        <v>1.065023412240073</v>
      </c>
      <c r="F44" s="297">
        <f t="shared" si="7"/>
        <v>0.99597793859382411</v>
      </c>
      <c r="G44" s="297">
        <f t="shared" si="7"/>
        <v>1.0015294329979876</v>
      </c>
      <c r="H44" s="297">
        <f t="shared" si="7"/>
        <v>0.97834699631101396</v>
      </c>
      <c r="I44" s="297"/>
      <c r="J44" s="50"/>
      <c r="L44" s="2"/>
    </row>
    <row r="45" spans="1:12" x14ac:dyDescent="0.2">
      <c r="A45" t="s">
        <v>97</v>
      </c>
      <c r="B45" s="22"/>
      <c r="C45" s="297">
        <f t="shared" ref="C45:H45" si="8">(SUM(C32:C41)-MAX(C32:C41)-MIN(C32:C41))/(COUNT(C32:C41)-2)</f>
        <v>2.9503859928702347</v>
      </c>
      <c r="D45" s="297">
        <f t="shared" si="8"/>
        <v>1.1833233866705373</v>
      </c>
      <c r="E45" s="297">
        <f t="shared" si="8"/>
        <v>1.0386158042076343</v>
      </c>
      <c r="F45" s="297">
        <f t="shared" si="8"/>
        <v>0.94063085351685827</v>
      </c>
      <c r="G45" s="297">
        <f t="shared" si="8"/>
        <v>0.96756340859714318</v>
      </c>
      <c r="H45" s="297">
        <f t="shared" si="8"/>
        <v>0.9868847874720359</v>
      </c>
      <c r="I45" s="297"/>
      <c r="J45" s="50"/>
      <c r="L45" s="2"/>
    </row>
    <row r="46" spans="1:12" x14ac:dyDescent="0.2">
      <c r="A46" t="s">
        <v>98</v>
      </c>
      <c r="C46" s="297">
        <f>AVERAGE(C39:C41)</f>
        <v>5.5395384030632355</v>
      </c>
      <c r="D46" s="297">
        <f>AVERAGE(D38:D40)</f>
        <v>1.2666542684233553</v>
      </c>
      <c r="E46" s="297">
        <f>AVERAGE(E37:E39)</f>
        <v>0.88803974757156956</v>
      </c>
      <c r="F46" s="297">
        <f>AVERAGE(F36:F38)</f>
        <v>0.94596290994281584</v>
      </c>
      <c r="G46" s="297">
        <f>AVERAGE(G35:G37)</f>
        <v>0.96176249429398142</v>
      </c>
      <c r="H46" s="297">
        <f>AVERAGE(H34:H36)</f>
        <v>0.97702687304632063</v>
      </c>
      <c r="I46" s="297"/>
      <c r="J46" s="158"/>
      <c r="L46" s="2"/>
    </row>
    <row r="47" spans="1:12" x14ac:dyDescent="0.2">
      <c r="A47" t="s">
        <v>72</v>
      </c>
      <c r="B47" s="25"/>
      <c r="C47" s="297">
        <f>AVERAGE(C37:C41)</f>
        <v>7.3543082902225425</v>
      </c>
      <c r="D47" s="297">
        <f>AVERAGE(D36:D40)</f>
        <v>1.2391274656949194</v>
      </c>
      <c r="E47" s="297">
        <f>AVERAGE(E35:E39)</f>
        <v>0.99964862571084601</v>
      </c>
      <c r="F47" s="297">
        <f>AVERAGE(F34:F38)</f>
        <v>0.91972176260776717</v>
      </c>
      <c r="G47" s="297">
        <f>AVERAGE(G33:G37)</f>
        <v>0.96495137683128918</v>
      </c>
      <c r="H47" s="297">
        <f>AVERAGE(H32:H36)</f>
        <v>0.97834699631101396</v>
      </c>
      <c r="I47" s="297"/>
      <c r="J47" s="159"/>
      <c r="L47" s="2"/>
    </row>
    <row r="48" spans="1:12" x14ac:dyDescent="0.2">
      <c r="A48" s="59" t="s">
        <v>265</v>
      </c>
      <c r="B48" s="59"/>
      <c r="C48" s="298">
        <v>1.5</v>
      </c>
      <c r="D48" s="298">
        <v>1.1879999999999999</v>
      </c>
      <c r="E48" s="298">
        <v>1.0620000000000001</v>
      </c>
      <c r="F48" s="298">
        <v>1.0049999999999999</v>
      </c>
      <c r="G48" s="298">
        <v>0.98699999999999999</v>
      </c>
      <c r="H48" s="298">
        <v>0.97699999999999998</v>
      </c>
      <c r="I48" s="298">
        <v>1</v>
      </c>
      <c r="J48" s="160"/>
      <c r="L48" s="2"/>
    </row>
    <row r="49" spans="1:12" x14ac:dyDescent="0.2">
      <c r="A49" t="s">
        <v>73</v>
      </c>
      <c r="C49" s="299">
        <f>'[4]4.5'!C48</f>
        <v>1.5</v>
      </c>
      <c r="D49" s="299">
        <f>'[4]4.5'!D48</f>
        <v>1.228</v>
      </c>
      <c r="E49" s="299">
        <f>'[4]4.5'!E48</f>
        <v>1.0109999999999999</v>
      </c>
      <c r="F49" s="299">
        <f>'[4]4.5'!F48</f>
        <v>0.96099999999999997</v>
      </c>
      <c r="G49" s="299">
        <f>'[4]4.5'!G48</f>
        <v>0.97699999999999998</v>
      </c>
      <c r="H49" s="299">
        <f>'[4]4.5'!H48</f>
        <v>0.98</v>
      </c>
      <c r="I49" s="299">
        <f>'[4]4.5'!I48</f>
        <v>1</v>
      </c>
      <c r="J49" s="102"/>
      <c r="L49" s="2"/>
    </row>
    <row r="50" spans="1:12" x14ac:dyDescent="0.2">
      <c r="A50" t="s">
        <v>74</v>
      </c>
      <c r="C50" s="297">
        <f t="shared" ref="C50:H50" si="9">ROUND(C49*D50,3)</f>
        <v>1.7130000000000001</v>
      </c>
      <c r="D50" s="297">
        <f t="shared" si="9"/>
        <v>1.1419999999999999</v>
      </c>
      <c r="E50" s="297">
        <f t="shared" si="9"/>
        <v>0.93</v>
      </c>
      <c r="F50" s="297">
        <f t="shared" si="9"/>
        <v>0.92</v>
      </c>
      <c r="G50" s="297">
        <f t="shared" si="9"/>
        <v>0.95699999999999996</v>
      </c>
      <c r="H50" s="297">
        <f t="shared" si="9"/>
        <v>0.98</v>
      </c>
      <c r="I50" s="297">
        <f>I49</f>
        <v>1</v>
      </c>
      <c r="J50" s="50"/>
      <c r="L50" s="2"/>
    </row>
    <row r="51" spans="1:12" ht="10.5" thickBot="1" x14ac:dyDescent="0.25">
      <c r="A51" s="6"/>
      <c r="B51" s="6"/>
      <c r="C51" s="6"/>
      <c r="D51" s="6"/>
      <c r="E51" s="6"/>
      <c r="F51" s="6"/>
      <c r="G51" s="6"/>
      <c r="H51" s="6"/>
      <c r="I51" s="6"/>
      <c r="J51" s="50"/>
      <c r="L51" s="2"/>
    </row>
    <row r="52" spans="1:12" ht="10.5" thickTop="1" x14ac:dyDescent="0.2">
      <c r="J52" s="50"/>
      <c r="L52" s="2"/>
    </row>
    <row r="53" spans="1:12" x14ac:dyDescent="0.2">
      <c r="J53" s="50"/>
      <c r="L53" s="2"/>
    </row>
    <row r="54" spans="1:12" x14ac:dyDescent="0.2">
      <c r="J54" s="50"/>
      <c r="L54" s="2"/>
    </row>
    <row r="55" spans="1:12" x14ac:dyDescent="0.2">
      <c r="J55" s="50"/>
      <c r="L55" s="2"/>
    </row>
    <row r="56" spans="1:12" x14ac:dyDescent="0.2">
      <c r="J56" s="50"/>
      <c r="L56" s="2"/>
    </row>
    <row r="57" spans="1:12" x14ac:dyDescent="0.2">
      <c r="J57" s="50"/>
      <c r="L57" s="2"/>
    </row>
    <row r="58" spans="1:12" x14ac:dyDescent="0.2">
      <c r="J58" s="50"/>
      <c r="L58" s="2"/>
    </row>
    <row r="59" spans="1:12" x14ac:dyDescent="0.2">
      <c r="J59" s="50"/>
      <c r="L59" s="2"/>
    </row>
    <row r="60" spans="1:12" x14ac:dyDescent="0.2">
      <c r="J60" s="50"/>
      <c r="L60" s="2"/>
    </row>
    <row r="61" spans="1:12" x14ac:dyDescent="0.2">
      <c r="J61" s="50"/>
      <c r="L61" s="2"/>
    </row>
    <row r="62" spans="1:12" x14ac:dyDescent="0.2">
      <c r="J62" s="50"/>
      <c r="L62" s="2"/>
    </row>
    <row r="63" spans="1:12" x14ac:dyDescent="0.2">
      <c r="J63" s="50"/>
      <c r="L63" s="2"/>
    </row>
    <row r="64" spans="1:12" x14ac:dyDescent="0.2">
      <c r="J64" s="50"/>
      <c r="L64" s="2"/>
    </row>
    <row r="65" spans="1:12" x14ac:dyDescent="0.2">
      <c r="L65" s="2"/>
    </row>
    <row r="66" spans="1:12" x14ac:dyDescent="0.2">
      <c r="L66" s="2"/>
    </row>
    <row r="67" spans="1:12" x14ac:dyDescent="0.2">
      <c r="L67" s="2"/>
    </row>
    <row r="68" spans="1:12" x14ac:dyDescent="0.2">
      <c r="L68" s="2"/>
    </row>
    <row r="69" spans="1:12" x14ac:dyDescent="0.2">
      <c r="L69" s="2"/>
    </row>
    <row r="70" spans="1:12" ht="10.5" thickBot="1" x14ac:dyDescent="0.25">
      <c r="L70" s="2"/>
    </row>
    <row r="71" spans="1:12" ht="10.5" thickBot="1" x14ac:dyDescent="0.25">
      <c r="A71" s="4"/>
      <c r="B71" s="5"/>
      <c r="C71" s="5"/>
      <c r="D71" s="5"/>
      <c r="E71" s="5"/>
      <c r="F71" s="5"/>
      <c r="G71" s="5"/>
      <c r="H71" s="5"/>
      <c r="I71" s="5"/>
      <c r="J71" s="5"/>
      <c r="K71" s="5"/>
      <c r="L71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92D050"/>
  </sheetPr>
  <dimension ref="A1:M68"/>
  <sheetViews>
    <sheetView showGridLines="0" zoomScaleNormal="100" workbookViewId="0">
      <selection activeCell="N23" sqref="N23"/>
    </sheetView>
  </sheetViews>
  <sheetFormatPr defaultColWidth="11.33203125" defaultRowHeight="10" x14ac:dyDescent="0.2"/>
  <cols>
    <col min="1" max="1" width="2.44140625" bestFit="1" customWidth="1"/>
    <col min="2" max="2" width="28.44140625" customWidth="1"/>
    <col min="3" max="3" width="9.6640625" customWidth="1"/>
    <col min="4" max="4" width="13.33203125" customWidth="1"/>
    <col min="5" max="6" width="9.6640625" customWidth="1"/>
    <col min="7" max="7" width="11.109375" customWidth="1"/>
    <col min="8" max="8" width="9.6640625" customWidth="1"/>
    <col min="9" max="10" width="11.33203125" customWidth="1"/>
    <col min="11" max="11" width="3.6640625" customWidth="1"/>
    <col min="12" max="12" width="11.33203125" customWidth="1"/>
    <col min="13" max="13" width="2.33203125" style="50" customWidth="1"/>
  </cols>
  <sheetData>
    <row r="1" spans="1:12" ht="10.5" x14ac:dyDescent="0.25">
      <c r="A1" s="8" t="s">
        <v>0</v>
      </c>
      <c r="B1" s="95"/>
      <c r="K1" s="7" t="s">
        <v>5</v>
      </c>
      <c r="L1" s="1"/>
    </row>
    <row r="2" spans="1:12" ht="10.5" x14ac:dyDescent="0.25">
      <c r="A2" s="8" t="s">
        <v>1</v>
      </c>
      <c r="B2" s="95"/>
      <c r="H2" s="7"/>
      <c r="I2" s="7"/>
      <c r="J2" s="7"/>
      <c r="K2" s="126"/>
      <c r="L2" s="2"/>
    </row>
    <row r="3" spans="1:12" ht="10.5" x14ac:dyDescent="0.25">
      <c r="A3" s="8" t="s">
        <v>2</v>
      </c>
      <c r="B3" s="95"/>
      <c r="L3" s="2"/>
    </row>
    <row r="4" spans="1:12" x14ac:dyDescent="0.2">
      <c r="A4" t="s">
        <v>3</v>
      </c>
      <c r="B4" s="95"/>
      <c r="L4" s="2"/>
    </row>
    <row r="5" spans="1:12" x14ac:dyDescent="0.2">
      <c r="A5" t="s">
        <v>4</v>
      </c>
      <c r="B5" s="95"/>
      <c r="L5" s="2"/>
    </row>
    <row r="6" spans="1:12" x14ac:dyDescent="0.2">
      <c r="L6" s="2"/>
    </row>
    <row r="7" spans="1:12" ht="10.5" thickBot="1" x14ac:dyDescent="0.25">
      <c r="A7" s="6"/>
      <c r="B7" s="6"/>
      <c r="C7" s="6"/>
      <c r="D7" s="6"/>
      <c r="E7" s="6"/>
      <c r="F7" s="6"/>
      <c r="G7" s="6"/>
      <c r="H7" s="6"/>
      <c r="I7" s="6"/>
      <c r="J7" s="50"/>
      <c r="K7" s="50"/>
      <c r="L7" s="2"/>
    </row>
    <row r="8" spans="1:12" ht="10.5" thickTop="1" x14ac:dyDescent="0.2">
      <c r="H8" s="25"/>
      <c r="L8" s="2"/>
    </row>
    <row r="9" spans="1:12" x14ac:dyDescent="0.2">
      <c r="C9" s="10" t="s">
        <v>7</v>
      </c>
      <c r="H9" t="s">
        <v>13</v>
      </c>
      <c r="I9" t="s">
        <v>302</v>
      </c>
      <c r="L9" s="2"/>
    </row>
    <row r="10" spans="1:12" x14ac:dyDescent="0.2">
      <c r="E10" t="s">
        <v>225</v>
      </c>
      <c r="G10" t="s">
        <v>10</v>
      </c>
      <c r="H10" t="s">
        <v>14</v>
      </c>
      <c r="I10" t="s">
        <v>14</v>
      </c>
      <c r="L10" s="2"/>
    </row>
    <row r="11" spans="1:12" x14ac:dyDescent="0.2">
      <c r="A11" s="9" t="s">
        <v>16</v>
      </c>
      <c r="B11" s="9"/>
      <c r="C11" s="9" t="s">
        <v>6</v>
      </c>
      <c r="D11" s="9" t="s">
        <v>8</v>
      </c>
      <c r="E11" s="9" t="s">
        <v>226</v>
      </c>
      <c r="F11" s="9" t="s">
        <v>9</v>
      </c>
      <c r="G11" s="9" t="s">
        <v>227</v>
      </c>
      <c r="H11" s="9" t="s">
        <v>15</v>
      </c>
      <c r="I11" s="9" t="s">
        <v>15</v>
      </c>
      <c r="J11" s="50"/>
      <c r="K11" s="50"/>
      <c r="L11" s="2"/>
    </row>
    <row r="12" spans="1:12" x14ac:dyDescent="0.2">
      <c r="A12" s="13" t="str">
        <f>TEXT(COLUMN(),"(#)")</f>
        <v>(1)</v>
      </c>
      <c r="B12" s="13"/>
      <c r="C12" s="11" t="str">
        <f t="shared" ref="C12:I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" t="str">
        <f t="shared" si="0"/>
        <v>(8)</v>
      </c>
      <c r="J12" s="11"/>
      <c r="K12" s="11"/>
      <c r="L12" s="2"/>
    </row>
    <row r="13" spans="1:12" x14ac:dyDescent="0.2">
      <c r="L13" s="2"/>
    </row>
    <row r="14" spans="1:12" x14ac:dyDescent="0.2">
      <c r="H14" s="59"/>
      <c r="L14" s="2"/>
    </row>
    <row r="15" spans="1:12" x14ac:dyDescent="0.2">
      <c r="B15" t="s">
        <v>301</v>
      </c>
      <c r="C15" s="29">
        <f ca="1">AVERAGE(AVERAGE(C22),C19)</f>
        <v>0.46450000000000002</v>
      </c>
      <c r="D15" s="23">
        <f>D$19</f>
        <v>0.14699999999999999</v>
      </c>
      <c r="E15" s="23">
        <f>E$19</f>
        <v>0.27280051543466177</v>
      </c>
      <c r="F15" s="18">
        <f ca="1">C15+D15+E15</f>
        <v>0.88430051543466182</v>
      </c>
      <c r="G15" s="23">
        <f>G$19</f>
        <v>0.77099999999999991</v>
      </c>
      <c r="H15" s="23">
        <f ca="1">ROUND(F15/G15-1,2)</f>
        <v>0.15</v>
      </c>
      <c r="I15" s="183"/>
      <c r="L15" s="2"/>
    </row>
    <row r="16" spans="1:12" x14ac:dyDescent="0.2">
      <c r="A16" s="9"/>
      <c r="B16" s="177"/>
      <c r="C16" s="85"/>
      <c r="D16" s="85"/>
      <c r="E16" s="85"/>
      <c r="F16" s="178"/>
      <c r="G16" s="85"/>
      <c r="H16" s="374"/>
      <c r="I16" s="179"/>
      <c r="J16" s="16"/>
      <c r="K16" s="16"/>
      <c r="L16" s="2"/>
    </row>
    <row r="17" spans="1:13" x14ac:dyDescent="0.2">
      <c r="C17" s="12"/>
      <c r="D17" s="22"/>
      <c r="H17" s="59"/>
      <c r="L17" s="2"/>
    </row>
    <row r="18" spans="1:13" x14ac:dyDescent="0.2">
      <c r="C18" s="18"/>
      <c r="D18" s="23"/>
      <c r="E18" s="14"/>
      <c r="F18" s="14"/>
      <c r="G18" s="14"/>
      <c r="H18" s="375"/>
      <c r="I18" s="15"/>
      <c r="J18" s="15"/>
      <c r="K18" s="15"/>
      <c r="L18" s="2"/>
    </row>
    <row r="19" spans="1:13" x14ac:dyDescent="0.2">
      <c r="B19" t="s">
        <v>277</v>
      </c>
      <c r="C19" s="23">
        <f ca="1">'5'!$E$14</f>
        <v>0.40200000000000002</v>
      </c>
      <c r="D19" s="23">
        <f>'2.1'!$E$19</f>
        <v>0.14699999999999999</v>
      </c>
      <c r="E19" s="23">
        <f>'11.1'!$G$42</f>
        <v>0.27280051543466177</v>
      </c>
      <c r="F19" s="18">
        <f ca="1">C19+D19+E19</f>
        <v>0.82180051543466182</v>
      </c>
      <c r="G19" s="23">
        <f>'11.1'!$G$48</f>
        <v>0.77099999999999991</v>
      </c>
      <c r="H19" s="376">
        <f ca="1">ROUND(F19/G19-1,2)</f>
        <v>7.0000000000000007E-2</v>
      </c>
      <c r="I19" s="16"/>
      <c r="J19" s="16"/>
      <c r="K19" s="16"/>
      <c r="L19" s="2"/>
    </row>
    <row r="20" spans="1:13" x14ac:dyDescent="0.2">
      <c r="C20" s="23"/>
      <c r="D20" s="23"/>
      <c r="E20" s="23"/>
      <c r="F20" s="18"/>
      <c r="G20" s="23"/>
      <c r="H20" s="376"/>
      <c r="I20" s="16"/>
      <c r="J20" s="16"/>
      <c r="K20" s="16"/>
      <c r="L20" s="2"/>
    </row>
    <row r="21" spans="1:13" x14ac:dyDescent="0.2">
      <c r="C21" s="20"/>
      <c r="D21" s="20"/>
      <c r="E21" s="20"/>
      <c r="F21" s="18"/>
      <c r="G21" s="20"/>
      <c r="H21" s="376"/>
      <c r="L21" s="2"/>
    </row>
    <row r="22" spans="1:13" ht="10.5" thickBot="1" x14ac:dyDescent="0.25">
      <c r="A22" s="6"/>
      <c r="B22" s="6" t="s">
        <v>456</v>
      </c>
      <c r="C22" s="306">
        <f>'5'!E22</f>
        <v>0.52700000000000002</v>
      </c>
      <c r="D22" s="306">
        <f>D19</f>
        <v>0.14699999999999999</v>
      </c>
      <c r="E22" s="306">
        <f>E19</f>
        <v>0.27280051543466177</v>
      </c>
      <c r="F22" s="306">
        <f>SUM(C22+D22+E22)</f>
        <v>0.94680051543466182</v>
      </c>
      <c r="G22" s="306">
        <f>G15</f>
        <v>0.77099999999999991</v>
      </c>
      <c r="H22" s="377">
        <f>F22/G22-1</f>
        <v>0.22801623272978211</v>
      </c>
      <c r="I22" s="6"/>
      <c r="J22" s="50"/>
      <c r="K22" s="50"/>
      <c r="L22" s="2"/>
    </row>
    <row r="23" spans="1:13" ht="10.5" thickTop="1" x14ac:dyDescent="0.2">
      <c r="C23" s="20"/>
      <c r="E23" s="20"/>
      <c r="H23" s="59"/>
      <c r="L23" s="2"/>
    </row>
    <row r="24" spans="1:13" x14ac:dyDescent="0.2">
      <c r="A24" t="s">
        <v>17</v>
      </c>
      <c r="L24" s="2"/>
      <c r="M24" s="53"/>
    </row>
    <row r="25" spans="1:13" x14ac:dyDescent="0.2">
      <c r="B25" s="22" t="str">
        <f>C12&amp;" "&amp;'5'!$H$1</f>
        <v>(2) Exhibit 5</v>
      </c>
      <c r="L25" s="2"/>
      <c r="M25" s="98"/>
    </row>
    <row r="26" spans="1:13" x14ac:dyDescent="0.2">
      <c r="B26" s="22" t="str">
        <f>D12&amp;" "&amp;'2.1'!$J$1&amp;", "&amp;'2.1'!$J$2</f>
        <v>(3) Exhibit 2, Sheet 1</v>
      </c>
      <c r="L26" s="2"/>
    </row>
    <row r="27" spans="1:13" x14ac:dyDescent="0.2">
      <c r="B27" s="22" t="str">
        <f>E12&amp;" "&amp;'[2]11.1'!$J$1 &amp; ", "&amp; '[2]11.1'!$J$2</f>
        <v>(4) Exhibit 11, Sheet 1</v>
      </c>
      <c r="L27" s="2"/>
      <c r="M27" s="98"/>
    </row>
    <row r="28" spans="1:13" x14ac:dyDescent="0.2">
      <c r="B28" s="96" t="str">
        <f>F12&amp;" = "&amp;C12&amp;" + "&amp;D12&amp;" + "&amp;E12</f>
        <v>(5) = (2) + (3) + (4)</v>
      </c>
      <c r="L28" s="2"/>
    </row>
    <row r="29" spans="1:13" x14ac:dyDescent="0.2">
      <c r="B29" s="22" t="str">
        <f>G12&amp;" "&amp;'[2]11.1'!$J$1 &amp; ", "&amp; '[2]11.1'!$J$2</f>
        <v>(6) Exhibit 11, Sheet 1</v>
      </c>
      <c r="L29" s="2"/>
    </row>
    <row r="30" spans="1:13" x14ac:dyDescent="0.2">
      <c r="B30" s="95" t="str">
        <f>H12&amp;" = "&amp;F12&amp;" / "&amp;G12&amp;" - 1"</f>
        <v>(7) = (5) / (6) - 1</v>
      </c>
      <c r="L30" s="2"/>
    </row>
    <row r="31" spans="1:13" x14ac:dyDescent="0.2">
      <c r="B31" s="22" t="str">
        <f>I12&amp;" Selected"</f>
        <v>(8) Selected</v>
      </c>
      <c r="L31" s="2"/>
    </row>
    <row r="32" spans="1:13" x14ac:dyDescent="0.2">
      <c r="L32" s="2"/>
    </row>
    <row r="33" spans="2:13" x14ac:dyDescent="0.2">
      <c r="L33" s="2"/>
    </row>
    <row r="34" spans="2:13" x14ac:dyDescent="0.2">
      <c r="B34" s="23"/>
      <c r="C34" s="23"/>
      <c r="D34" s="23"/>
      <c r="E34" s="18"/>
      <c r="F34" s="23"/>
      <c r="G34" s="16"/>
      <c r="H34" s="16"/>
      <c r="I34" s="16"/>
      <c r="K34" s="16"/>
      <c r="L34" s="2"/>
      <c r="M34" s="378"/>
    </row>
    <row r="35" spans="2:13" x14ac:dyDescent="0.2">
      <c r="B35" s="12"/>
      <c r="C35" s="12"/>
      <c r="L35" s="2"/>
      <c r="M35" s="379"/>
    </row>
    <row r="36" spans="2:13" x14ac:dyDescent="0.2">
      <c r="L36" s="2"/>
    </row>
    <row r="37" spans="2:13" x14ac:dyDescent="0.2">
      <c r="L37" s="2"/>
    </row>
    <row r="38" spans="2:13" x14ac:dyDescent="0.2">
      <c r="L38" s="2"/>
    </row>
    <row r="39" spans="2:13" x14ac:dyDescent="0.2">
      <c r="L39" s="2"/>
    </row>
    <row r="40" spans="2:13" x14ac:dyDescent="0.2">
      <c r="L40" s="2"/>
    </row>
    <row r="41" spans="2:13" x14ac:dyDescent="0.2">
      <c r="L41" s="2"/>
    </row>
    <row r="42" spans="2:13" x14ac:dyDescent="0.2">
      <c r="L42" s="2"/>
    </row>
    <row r="43" spans="2:13" x14ac:dyDescent="0.2">
      <c r="L43" s="2"/>
    </row>
    <row r="44" spans="2:13" x14ac:dyDescent="0.2">
      <c r="L44" s="2"/>
    </row>
    <row r="45" spans="2:13" x14ac:dyDescent="0.2">
      <c r="L45" s="2"/>
    </row>
    <row r="46" spans="2:13" x14ac:dyDescent="0.2">
      <c r="L46" s="2"/>
    </row>
    <row r="47" spans="2:13" x14ac:dyDescent="0.2">
      <c r="L47" s="2"/>
    </row>
    <row r="48" spans="2:13" x14ac:dyDescent="0.2">
      <c r="L48" s="2"/>
    </row>
    <row r="49" spans="12:12" x14ac:dyDescent="0.2">
      <c r="L49" s="2"/>
    </row>
    <row r="50" spans="12:12" x14ac:dyDescent="0.2">
      <c r="L50" s="2"/>
    </row>
    <row r="51" spans="12:12" x14ac:dyDescent="0.2">
      <c r="L51" s="2"/>
    </row>
    <row r="52" spans="12:12" x14ac:dyDescent="0.2">
      <c r="L52" s="2"/>
    </row>
    <row r="53" spans="12:12" x14ac:dyDescent="0.2">
      <c r="L53" s="2"/>
    </row>
    <row r="54" spans="12:12" x14ac:dyDescent="0.2">
      <c r="L54" s="2"/>
    </row>
    <row r="55" spans="12:12" x14ac:dyDescent="0.2">
      <c r="L55" s="2"/>
    </row>
    <row r="56" spans="12:12" x14ac:dyDescent="0.2">
      <c r="L56" s="2"/>
    </row>
    <row r="57" spans="12:12" x14ac:dyDescent="0.2">
      <c r="L57" s="2"/>
    </row>
    <row r="58" spans="12:12" x14ac:dyDescent="0.2">
      <c r="L58" s="2"/>
    </row>
    <row r="59" spans="12:12" x14ac:dyDescent="0.2">
      <c r="L59" s="2"/>
    </row>
    <row r="60" spans="12:12" x14ac:dyDescent="0.2">
      <c r="L60" s="2"/>
    </row>
    <row r="61" spans="12:12" x14ac:dyDescent="0.2">
      <c r="L61" s="2"/>
    </row>
    <row r="62" spans="12:12" x14ac:dyDescent="0.2">
      <c r="L62" s="2"/>
    </row>
    <row r="63" spans="12:12" x14ac:dyDescent="0.2">
      <c r="L63" s="2"/>
    </row>
    <row r="64" spans="12:12" ht="10.5" thickBot="1" x14ac:dyDescent="0.25">
      <c r="L64" s="2"/>
    </row>
    <row r="65" spans="1:12" ht="10.5" hidden="1" thickBot="1" x14ac:dyDescent="0.25">
      <c r="L65" s="2"/>
    </row>
    <row r="66" spans="1:12" ht="10.5" hidden="1" thickBot="1" x14ac:dyDescent="0.25">
      <c r="L66" s="2"/>
    </row>
    <row r="67" spans="1:12" ht="10.5" hidden="1" thickBot="1" x14ac:dyDescent="0.25">
      <c r="L67" s="2"/>
    </row>
    <row r="68" spans="1:12" ht="10.5" thickBot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5"/>
      <c r="L68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6">
    <tabColor rgb="FF92D050"/>
  </sheetPr>
  <dimension ref="A1:I45"/>
  <sheetViews>
    <sheetView showGridLines="0" topLeftCell="A16" workbookViewId="0">
      <selection activeCell="D32" sqref="D32"/>
    </sheetView>
  </sheetViews>
  <sheetFormatPr defaultColWidth="11.33203125" defaultRowHeight="10" x14ac:dyDescent="0.2"/>
  <cols>
    <col min="1" max="1" width="2.44140625" bestFit="1" customWidth="1"/>
    <col min="2" max="2" width="50.33203125" customWidth="1"/>
    <col min="3" max="5" width="12.6640625" customWidth="1"/>
    <col min="6" max="7" width="11.33203125" customWidth="1"/>
    <col min="8" max="8" width="7.6640625" customWidth="1"/>
  </cols>
  <sheetData>
    <row r="1" spans="1:9" ht="10.5" x14ac:dyDescent="0.25">
      <c r="A1" s="8" t="str">
        <f>'1'!$A$1</f>
        <v>Texas Windstorm Insurance Association</v>
      </c>
      <c r="B1" s="12"/>
      <c r="H1" s="7" t="s">
        <v>100</v>
      </c>
      <c r="I1" s="1"/>
    </row>
    <row r="2" spans="1:9" ht="10.5" x14ac:dyDescent="0.25">
      <c r="A2" s="8" t="str">
        <f>'1'!$A$2</f>
        <v>Residential Property - Wind &amp; Hail</v>
      </c>
      <c r="B2" s="12"/>
      <c r="H2" s="7"/>
      <c r="I2" s="2"/>
    </row>
    <row r="3" spans="1:9" ht="10.5" x14ac:dyDescent="0.25">
      <c r="A3" s="8" t="str">
        <f>'1'!$A$3</f>
        <v>Rate Level Review</v>
      </c>
      <c r="B3" s="12"/>
      <c r="I3" s="2"/>
    </row>
    <row r="4" spans="1:9" x14ac:dyDescent="0.2">
      <c r="A4" t="s">
        <v>99</v>
      </c>
      <c r="B4" s="12"/>
      <c r="I4" s="2"/>
    </row>
    <row r="5" spans="1:9" x14ac:dyDescent="0.2">
      <c r="B5" s="12"/>
      <c r="I5" s="2"/>
    </row>
    <row r="6" spans="1:9" x14ac:dyDescent="0.2">
      <c r="I6" s="2"/>
    </row>
    <row r="7" spans="1:9" ht="10.5" thickBot="1" x14ac:dyDescent="0.25">
      <c r="A7" s="6"/>
      <c r="B7" s="6"/>
      <c r="C7" s="6"/>
      <c r="D7" s="6"/>
      <c r="E7" s="6"/>
      <c r="F7" s="45"/>
      <c r="G7" s="45"/>
      <c r="H7" s="45"/>
      <c r="I7" s="2"/>
    </row>
    <row r="8" spans="1:9" ht="10.5" thickTop="1" x14ac:dyDescent="0.2">
      <c r="F8" s="45"/>
      <c r="G8" s="45"/>
      <c r="H8" s="45"/>
      <c r="I8" s="2"/>
    </row>
    <row r="9" spans="1:9" x14ac:dyDescent="0.2">
      <c r="C9" s="12" t="s">
        <v>13</v>
      </c>
      <c r="E9" t="s">
        <v>13</v>
      </c>
      <c r="F9" s="45"/>
      <c r="G9" s="45"/>
      <c r="H9" s="45"/>
      <c r="I9" s="2"/>
    </row>
    <row r="10" spans="1:9" x14ac:dyDescent="0.2">
      <c r="C10" t="s">
        <v>41</v>
      </c>
      <c r="D10" t="s">
        <v>36</v>
      </c>
      <c r="E10" t="s">
        <v>11</v>
      </c>
      <c r="F10" s="45"/>
      <c r="G10" s="45"/>
      <c r="H10" s="45"/>
      <c r="I10" s="2"/>
    </row>
    <row r="11" spans="1:9" x14ac:dyDescent="0.2">
      <c r="A11" s="9" t="s">
        <v>101</v>
      </c>
      <c r="B11" s="9"/>
      <c r="C11" s="9" t="s">
        <v>12</v>
      </c>
      <c r="D11" s="9" t="s">
        <v>37</v>
      </c>
      <c r="E11" s="9" t="s">
        <v>12</v>
      </c>
      <c r="F11" s="45"/>
      <c r="G11" s="45"/>
      <c r="H11" s="45"/>
      <c r="I11" s="2"/>
    </row>
    <row r="12" spans="1:9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46"/>
      <c r="G12" s="46"/>
      <c r="H12" s="46"/>
      <c r="I12" s="2"/>
    </row>
    <row r="13" spans="1:9" x14ac:dyDescent="0.2">
      <c r="F13" s="45"/>
      <c r="G13" s="45"/>
      <c r="H13" s="45"/>
      <c r="I13" s="2"/>
    </row>
    <row r="14" spans="1:9" x14ac:dyDescent="0.2">
      <c r="A14" s="59" t="s">
        <v>278</v>
      </c>
      <c r="C14" s="23">
        <f ca="1">'6.1'!E43</f>
        <v>0.34755000000000003</v>
      </c>
      <c r="D14" s="55">
        <f>'4.1'!$E$59</f>
        <v>0.156</v>
      </c>
      <c r="E14" s="18">
        <f ca="1">ROUND(C14*(1+D14),3)</f>
        <v>0.40200000000000002</v>
      </c>
      <c r="F14" s="53"/>
      <c r="G14" s="53"/>
      <c r="H14" s="54"/>
      <c r="I14" s="2"/>
    </row>
    <row r="15" spans="1:9" x14ac:dyDescent="0.2">
      <c r="C15" s="23"/>
      <c r="D15" s="23"/>
      <c r="E15" s="23"/>
      <c r="F15" s="53"/>
      <c r="G15" s="53"/>
      <c r="H15" s="54"/>
      <c r="I15" s="2"/>
    </row>
    <row r="16" spans="1:9" x14ac:dyDescent="0.2">
      <c r="A16" s="10" t="s">
        <v>102</v>
      </c>
      <c r="C16" s="23"/>
      <c r="D16" s="23"/>
      <c r="E16" s="23"/>
      <c r="F16" s="53"/>
      <c r="G16" s="53"/>
      <c r="H16" s="54"/>
      <c r="I16" s="2"/>
    </row>
    <row r="17" spans="1:9" x14ac:dyDescent="0.2">
      <c r="B17" t="s">
        <v>103</v>
      </c>
      <c r="C17" s="23">
        <f>'7.1'!$E$34</f>
        <v>0.504</v>
      </c>
      <c r="D17" s="55">
        <f>D$14</f>
        <v>0.156</v>
      </c>
      <c r="E17" s="18">
        <f>ROUND(C17*(1+D17),3)</f>
        <v>0.58299999999999996</v>
      </c>
      <c r="F17" s="45"/>
      <c r="G17" s="45"/>
      <c r="H17" s="45"/>
      <c r="I17" s="2"/>
    </row>
    <row r="18" spans="1:9" x14ac:dyDescent="0.2">
      <c r="B18" t="s">
        <v>104</v>
      </c>
      <c r="C18" s="23">
        <f>'7.2'!$E$34</f>
        <v>0.42099999999999999</v>
      </c>
      <c r="D18" s="55">
        <f>D$14</f>
        <v>0.156</v>
      </c>
      <c r="E18" s="18">
        <f>ROUND(C18*(1+D18),3)</f>
        <v>0.48699999999999999</v>
      </c>
      <c r="F18" s="45"/>
      <c r="G18" s="45"/>
      <c r="H18" s="45"/>
      <c r="I18" s="2"/>
    </row>
    <row r="19" spans="1:9" x14ac:dyDescent="0.2">
      <c r="B19" t="s">
        <v>444</v>
      </c>
      <c r="C19" s="23">
        <f>'7.3'!$E$34</f>
        <v>0.51</v>
      </c>
      <c r="D19" s="55">
        <f t="shared" ref="D19:D20" si="0">D$14</f>
        <v>0.156</v>
      </c>
      <c r="E19" s="18">
        <f t="shared" ref="E19:E20" si="1">ROUND(C19*(1+D19),3)</f>
        <v>0.59</v>
      </c>
      <c r="F19" s="45"/>
      <c r="G19" s="45"/>
      <c r="H19" s="45"/>
      <c r="I19" s="2"/>
    </row>
    <row r="20" spans="1:9" x14ac:dyDescent="0.2">
      <c r="B20" t="s">
        <v>493</v>
      </c>
      <c r="C20" s="23">
        <f>'7.4'!$E$34</f>
        <v>0.38900000000000001</v>
      </c>
      <c r="D20" s="55">
        <f t="shared" si="0"/>
        <v>0.156</v>
      </c>
      <c r="E20" s="18">
        <f t="shared" si="1"/>
        <v>0.45</v>
      </c>
      <c r="F20" s="45"/>
      <c r="G20" s="45"/>
      <c r="H20" s="45"/>
      <c r="I20" s="2"/>
    </row>
    <row r="21" spans="1:9" x14ac:dyDescent="0.2">
      <c r="F21" s="45"/>
      <c r="G21" s="45"/>
      <c r="H21" s="45"/>
      <c r="I21" s="2"/>
    </row>
    <row r="22" spans="1:9" x14ac:dyDescent="0.2">
      <c r="B22" t="s">
        <v>105</v>
      </c>
      <c r="C22" s="20">
        <f>ROUND(AVERAGE(C17:C20),3)</f>
        <v>0.45600000000000002</v>
      </c>
      <c r="D22" s="55">
        <f>D$14</f>
        <v>0.156</v>
      </c>
      <c r="E22" s="18">
        <f>ROUND(C22*(1+D22),3)</f>
        <v>0.52700000000000002</v>
      </c>
      <c r="F22" s="45"/>
      <c r="G22" s="45"/>
      <c r="H22" s="45"/>
      <c r="I22" s="2"/>
    </row>
    <row r="23" spans="1:9" ht="10.5" thickBot="1" x14ac:dyDescent="0.25">
      <c r="A23" s="6"/>
      <c r="B23" s="6"/>
      <c r="C23" s="6"/>
      <c r="D23" s="6"/>
      <c r="E23" s="6"/>
      <c r="I23" s="2"/>
    </row>
    <row r="24" spans="1:9" ht="10.5" thickTop="1" x14ac:dyDescent="0.2">
      <c r="I24" s="2"/>
    </row>
    <row r="25" spans="1:9" x14ac:dyDescent="0.2">
      <c r="A25" t="s">
        <v>17</v>
      </c>
      <c r="I25" s="2"/>
    </row>
    <row r="26" spans="1:9" x14ac:dyDescent="0.2">
      <c r="B26" s="22" t="str">
        <f>C12&amp;" "&amp;'6.1'!$J$1&amp;", "&amp;'6.1'!J2&amp;" &amp; "&amp;'7.2'!$K$1&amp;", "&amp;'7.1'!K2&amp; " - "&amp;'7.4'!K2</f>
        <v>(2) Exhibit 6, Sheet 1 &amp; Exhibit 7, Sheet 1 - Sheet 4</v>
      </c>
      <c r="I26" s="2"/>
    </row>
    <row r="27" spans="1:9" x14ac:dyDescent="0.2">
      <c r="B27" s="22" t="str">
        <f>D12&amp;" "&amp;'4.1'!$J$1&amp;", "&amp;'4.1'!$J$2</f>
        <v>(3) Exhibit 4, Sheet 1</v>
      </c>
      <c r="I27" s="2"/>
    </row>
    <row r="28" spans="1:9" x14ac:dyDescent="0.2">
      <c r="B28" s="12" t="str">
        <f>E12&amp;" = "&amp;C12&amp;" * [1 + "&amp;D12&amp;"]"</f>
        <v>(4) = (2) * [1 + (3)]</v>
      </c>
      <c r="I28" s="2"/>
    </row>
    <row r="29" spans="1:9" x14ac:dyDescent="0.2">
      <c r="B29" s="22"/>
      <c r="I29" s="2"/>
    </row>
    <row r="30" spans="1:9" x14ac:dyDescent="0.2">
      <c r="B30" s="22"/>
      <c r="I30" s="2"/>
    </row>
    <row r="31" spans="1:9" x14ac:dyDescent="0.2">
      <c r="I31" s="2"/>
    </row>
    <row r="32" spans="1:9" x14ac:dyDescent="0.2">
      <c r="I32" s="2"/>
    </row>
    <row r="33" spans="1:9" x14ac:dyDescent="0.2">
      <c r="I33" s="2"/>
    </row>
    <row r="34" spans="1:9" x14ac:dyDescent="0.2">
      <c r="I34" s="2"/>
    </row>
    <row r="35" spans="1:9" x14ac:dyDescent="0.2">
      <c r="I35" s="2"/>
    </row>
    <row r="36" spans="1:9" x14ac:dyDescent="0.2">
      <c r="I36" s="2"/>
    </row>
    <row r="37" spans="1:9" x14ac:dyDescent="0.2">
      <c r="I37" s="2"/>
    </row>
    <row r="38" spans="1:9" x14ac:dyDescent="0.2">
      <c r="I38" s="2"/>
    </row>
    <row r="39" spans="1:9" x14ac:dyDescent="0.2">
      <c r="I39" s="2"/>
    </row>
    <row r="40" spans="1:9" x14ac:dyDescent="0.2">
      <c r="I40" s="2"/>
    </row>
    <row r="41" spans="1:9" x14ac:dyDescent="0.2">
      <c r="I41" s="2"/>
    </row>
    <row r="42" spans="1:9" x14ac:dyDescent="0.2">
      <c r="I42" s="2"/>
    </row>
    <row r="43" spans="1:9" x14ac:dyDescent="0.2">
      <c r="I43" s="2"/>
    </row>
    <row r="44" spans="1:9" ht="10.5" thickBot="1" x14ac:dyDescent="0.25">
      <c r="I44" s="2"/>
    </row>
    <row r="45" spans="1:9" ht="10.5" thickBot="1" x14ac:dyDescent="0.25">
      <c r="A45" s="4"/>
      <c r="B45" s="5"/>
      <c r="C45" s="5"/>
      <c r="D45" s="5"/>
      <c r="E45" s="5"/>
      <c r="F45" s="5"/>
      <c r="G45" s="5"/>
      <c r="H45" s="5"/>
      <c r="I45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27">
    <tabColor rgb="FF92D050"/>
  </sheetPr>
  <dimension ref="A1:Q59"/>
  <sheetViews>
    <sheetView showGridLines="0" topLeftCell="A43" workbookViewId="0">
      <selection activeCell="F19" sqref="F19"/>
    </sheetView>
  </sheetViews>
  <sheetFormatPr defaultColWidth="11.33203125" defaultRowHeight="10" x14ac:dyDescent="0.2"/>
  <cols>
    <col min="1" max="1" width="6.109375" customWidth="1"/>
    <col min="2" max="2" width="11.33203125" customWidth="1"/>
    <col min="3" max="3" width="15.33203125" customWidth="1"/>
    <col min="4" max="4" width="22.109375" customWidth="1"/>
    <col min="5" max="5" width="15.33203125" customWidth="1"/>
    <col min="6" max="6" width="13.77734375" customWidth="1"/>
    <col min="7" max="7" width="11.33203125" customWidth="1"/>
    <col min="8" max="8" width="13.5546875" customWidth="1"/>
    <col min="9" max="9" width="9" customWidth="1"/>
    <col min="10" max="10" width="2.6640625" customWidth="1"/>
  </cols>
  <sheetData>
    <row r="1" spans="1:17" ht="10.5" x14ac:dyDescent="0.25">
      <c r="A1" s="8" t="str">
        <f>'1'!$A$1</f>
        <v>Texas Windstorm Insurance Association</v>
      </c>
      <c r="B1" s="12"/>
      <c r="J1" s="7" t="s">
        <v>106</v>
      </c>
      <c r="K1" s="1"/>
      <c r="P1" t="s">
        <v>428</v>
      </c>
      <c r="Q1" t="s">
        <v>471</v>
      </c>
    </row>
    <row r="2" spans="1:17" ht="10.5" x14ac:dyDescent="0.25">
      <c r="A2" s="8" t="str">
        <f>'1'!$A$2</f>
        <v>Residential Property - Wind &amp; Hail</v>
      </c>
      <c r="B2" s="12"/>
      <c r="J2" s="7" t="s">
        <v>21</v>
      </c>
      <c r="K2" s="2"/>
      <c r="P2" t="s">
        <v>428</v>
      </c>
      <c r="Q2" t="s">
        <v>472</v>
      </c>
    </row>
    <row r="3" spans="1:17" ht="10.5" x14ac:dyDescent="0.25">
      <c r="A3" s="8" t="str">
        <f>'1'!$A$3</f>
        <v>Rate Level Review</v>
      </c>
      <c r="B3" s="12"/>
      <c r="K3" s="2"/>
    </row>
    <row r="4" spans="1:17" x14ac:dyDescent="0.2">
      <c r="A4" t="s">
        <v>107</v>
      </c>
      <c r="B4" s="12"/>
      <c r="E4" s="50"/>
      <c r="F4" s="50"/>
      <c r="K4" s="2"/>
      <c r="L4" s="11" t="s">
        <v>115</v>
      </c>
      <c r="M4" s="11" t="s">
        <v>116</v>
      </c>
      <c r="N4" s="11" t="s">
        <v>119</v>
      </c>
    </row>
    <row r="5" spans="1:17" x14ac:dyDescent="0.2">
      <c r="A5" t="str">
        <f>$L$5&amp;" - "&amp;$M$5&amp;" -- Hurricane Years Only"</f>
        <v>1966 - 2021 -- Hurricane Years Only</v>
      </c>
      <c r="B5" s="12"/>
      <c r="E5" s="50"/>
      <c r="F5" s="50"/>
      <c r="K5" s="2"/>
      <c r="L5" s="221">
        <v>1966</v>
      </c>
      <c r="M5" s="221">
        <v>2021</v>
      </c>
      <c r="N5" s="11">
        <f>M5-L5+1</f>
        <v>56</v>
      </c>
    </row>
    <row r="6" spans="1:17" x14ac:dyDescent="0.2">
      <c r="E6" s="50"/>
      <c r="F6" s="50"/>
      <c r="K6" s="2"/>
      <c r="L6" s="87"/>
      <c r="M6" s="78"/>
    </row>
    <row r="7" spans="1:17" ht="10.5" thickBot="1" x14ac:dyDescent="0.25">
      <c r="A7" s="6"/>
      <c r="B7" s="6"/>
      <c r="C7" s="6"/>
      <c r="D7" s="6"/>
      <c r="E7" s="6"/>
      <c r="F7" s="6"/>
      <c r="G7" s="6"/>
      <c r="H7" s="6"/>
      <c r="K7" s="2"/>
    </row>
    <row r="8" spans="1:17" ht="10.5" thickTop="1" x14ac:dyDescent="0.2">
      <c r="E8" s="45"/>
      <c r="F8" s="45"/>
      <c r="K8" s="2"/>
    </row>
    <row r="9" spans="1:17" x14ac:dyDescent="0.2">
      <c r="C9" s="22" t="s">
        <v>44</v>
      </c>
      <c r="E9" s="7" t="s">
        <v>349</v>
      </c>
      <c r="F9" s="45"/>
      <c r="K9" s="2"/>
      <c r="L9" s="27"/>
    </row>
    <row r="10" spans="1:17" x14ac:dyDescent="0.2">
      <c r="A10" t="s">
        <v>53</v>
      </c>
      <c r="C10" t="s">
        <v>42</v>
      </c>
      <c r="D10" s="7" t="s">
        <v>347</v>
      </c>
      <c r="E10" s="7" t="s">
        <v>87</v>
      </c>
      <c r="F10" s="7" t="s">
        <v>350</v>
      </c>
      <c r="H10" s="369" t="s">
        <v>482</v>
      </c>
      <c r="K10" s="2"/>
    </row>
    <row r="11" spans="1:17" x14ac:dyDescent="0.2">
      <c r="A11" s="9" t="s">
        <v>54</v>
      </c>
      <c r="B11" s="9"/>
      <c r="C11" s="9" t="s">
        <v>43</v>
      </c>
      <c r="D11" s="294" t="s">
        <v>348</v>
      </c>
      <c r="E11" s="294" t="s">
        <v>78</v>
      </c>
      <c r="F11" s="294" t="s">
        <v>78</v>
      </c>
      <c r="G11" s="9"/>
      <c r="H11" s="371"/>
      <c r="K11" s="2"/>
    </row>
    <row r="12" spans="1:17" x14ac:dyDescent="0.2">
      <c r="A12" s="13"/>
      <c r="B12" s="13"/>
      <c r="C12" s="11" t="str">
        <f>TEXT(COLUMN()-2,"(#)")</f>
        <v>(1)</v>
      </c>
      <c r="D12" s="11" t="str">
        <f>TEXT(COLUMN()-2,"(#)")</f>
        <v>(2)</v>
      </c>
      <c r="E12" s="7" t="str">
        <f>TEXT(COLUMN()-2,"(#)")</f>
        <v>(3)</v>
      </c>
      <c r="F12" s="7" t="str">
        <f>TEXT(COLUMN()-2,"(#)")</f>
        <v>(4)</v>
      </c>
      <c r="G12" s="50"/>
      <c r="H12" s="373" t="s">
        <v>120</v>
      </c>
      <c r="K12" s="2"/>
    </row>
    <row r="13" spans="1:17" x14ac:dyDescent="0.2">
      <c r="A13" s="86" t="s">
        <v>387</v>
      </c>
      <c r="B13" s="57"/>
      <c r="C13" s="120">
        <f>VLOOKUP($A13,'6.2'!$A$13:$G$67,5,0)</f>
        <v>29244163</v>
      </c>
      <c r="D13" s="296">
        <v>1</v>
      </c>
      <c r="E13" s="62">
        <f>VLOOKUP($A13,'6.2'!$A$13:$G$67,7,0)</f>
        <v>0.38200000000000001</v>
      </c>
      <c r="F13" s="295">
        <f ca="1">MAX(E13-$E$31,0)/D13</f>
        <v>0.28300000000000003</v>
      </c>
      <c r="G13" s="62"/>
      <c r="H13" s="162"/>
      <c r="K13" s="2"/>
    </row>
    <row r="14" spans="1:17" x14ac:dyDescent="0.2">
      <c r="A14" s="86" t="s">
        <v>264</v>
      </c>
      <c r="B14" s="57"/>
      <c r="C14" s="120">
        <f>VLOOKUP($A14,'6.2'!$A$13:$G$67,5,0)</f>
        <v>29832151</v>
      </c>
      <c r="D14" s="296">
        <v>1</v>
      </c>
      <c r="E14" s="62">
        <f>VLOOKUP($A14,'6.2'!$A$13:$G$67,7,0)</f>
        <v>0.69699999999999995</v>
      </c>
      <c r="F14" s="295">
        <f t="shared" ref="F14:F25" ca="1" si="0">MAX(E14-$E$31,0)/D14</f>
        <v>0.59799999999999998</v>
      </c>
      <c r="G14" s="62"/>
      <c r="H14" s="162"/>
      <c r="K14" s="2"/>
    </row>
    <row r="15" spans="1:17" x14ac:dyDescent="0.2">
      <c r="A15" s="86" t="s">
        <v>108</v>
      </c>
      <c r="B15" s="57"/>
      <c r="C15" s="120">
        <f>VLOOKUP($A15,'6.2'!$A$13:$G$67,5,0)</f>
        <v>29729368</v>
      </c>
      <c r="D15" s="296">
        <v>1</v>
      </c>
      <c r="E15" s="62">
        <f>VLOOKUP($A15,'6.2'!$A$13:$G$67,7,0)</f>
        <v>0.76500000000000001</v>
      </c>
      <c r="F15" s="295">
        <f t="shared" ca="1" si="0"/>
        <v>0.66600000000000004</v>
      </c>
      <c r="G15" s="62"/>
      <c r="H15" s="162"/>
      <c r="K15" s="2"/>
    </row>
    <row r="16" spans="1:17" x14ac:dyDescent="0.2">
      <c r="A16" s="86" t="s">
        <v>109</v>
      </c>
      <c r="B16" s="57"/>
      <c r="C16" s="120">
        <f>VLOOKUP($A16,'6.2'!$A$13:$G$67,5,0)</f>
        <v>50494372</v>
      </c>
      <c r="D16" s="296">
        <v>1</v>
      </c>
      <c r="E16" s="62">
        <f>VLOOKUP($A16,'6.2'!$A$13:$G$67,7,0)</f>
        <v>0.748</v>
      </c>
      <c r="F16" s="295">
        <f t="shared" ca="1" si="0"/>
        <v>0.64900000000000002</v>
      </c>
      <c r="G16" s="62"/>
      <c r="H16" s="162"/>
      <c r="K16" s="2"/>
    </row>
    <row r="17" spans="1:12" x14ac:dyDescent="0.2">
      <c r="A17" s="86" t="s">
        <v>110</v>
      </c>
      <c r="B17" s="57"/>
      <c r="C17" s="120">
        <f>VLOOKUP($A17,'6.2'!$A$13:$G$67,5,0)</f>
        <v>64842240.268167496</v>
      </c>
      <c r="D17" s="296">
        <v>1</v>
      </c>
      <c r="E17" s="62">
        <f>VLOOKUP($A17,'6.2'!$A$13:$G$67,7,0)</f>
        <v>5.2240000000000002</v>
      </c>
      <c r="F17" s="295">
        <f t="shared" ca="1" si="0"/>
        <v>5.125</v>
      </c>
      <c r="G17" s="62"/>
      <c r="H17" s="162"/>
      <c r="K17" s="2"/>
      <c r="L17" t="s">
        <v>343</v>
      </c>
    </row>
    <row r="18" spans="1:12" x14ac:dyDescent="0.2">
      <c r="A18" s="86" t="s">
        <v>111</v>
      </c>
      <c r="B18" s="57"/>
      <c r="C18" s="120">
        <f>VLOOKUP($A18,'6.2'!$A$13:$G$67,5,0)</f>
        <v>82608316.254789531</v>
      </c>
      <c r="D18" s="296">
        <v>1</v>
      </c>
      <c r="E18" s="62">
        <f>VLOOKUP($A18,'6.2'!$A$13:$G$67,7,0)</f>
        <v>0.105</v>
      </c>
      <c r="F18" s="295">
        <f t="shared" ca="1" si="0"/>
        <v>5.9999999999999915E-3</v>
      </c>
      <c r="G18" s="62"/>
      <c r="H18" s="162"/>
      <c r="K18" s="2"/>
    </row>
    <row r="19" spans="1:12" x14ac:dyDescent="0.2">
      <c r="A19" s="86" t="s">
        <v>112</v>
      </c>
      <c r="B19" s="57"/>
      <c r="C19" s="120">
        <f>VLOOKUP($A19,'6.2'!$A$13:$G$67,5,0)</f>
        <v>99401872.051372439</v>
      </c>
      <c r="D19" s="296">
        <v>2</v>
      </c>
      <c r="E19" s="62">
        <f>VLOOKUP($A19,'6.2'!$A$13:$G$67,7,0)</f>
        <v>7.5999999999999998E-2</v>
      </c>
      <c r="F19" s="295">
        <f t="shared" ca="1" si="0"/>
        <v>0</v>
      </c>
      <c r="G19" s="62"/>
      <c r="H19" s="162"/>
      <c r="K19" s="2"/>
    </row>
    <row r="20" spans="1:12" x14ac:dyDescent="0.2">
      <c r="A20" s="86" t="s">
        <v>113</v>
      </c>
      <c r="B20" s="57"/>
      <c r="C20" s="120">
        <f>VLOOKUP($A20,'6.2'!$A$13:$G$67,5,0)</f>
        <v>183849421.69128418</v>
      </c>
      <c r="D20" s="296">
        <v>1</v>
      </c>
      <c r="E20" s="62">
        <f>VLOOKUP($A20,'6.2'!$A$13:$G$67,7,0)</f>
        <v>8.3000000000000004E-2</v>
      </c>
      <c r="F20" s="295">
        <f t="shared" ca="1" si="0"/>
        <v>0</v>
      </c>
      <c r="G20" s="62"/>
      <c r="H20" s="162"/>
      <c r="K20" s="2"/>
    </row>
    <row r="21" spans="1:12" x14ac:dyDescent="0.2">
      <c r="A21" s="156" t="s">
        <v>276</v>
      </c>
      <c r="B21" s="154"/>
      <c r="C21" s="120">
        <f>VLOOKUP($A21,'6.2'!$A$13:$G$67,5,0)</f>
        <v>237166897.49597093</v>
      </c>
      <c r="D21" s="296">
        <v>1</v>
      </c>
      <c r="E21" s="62">
        <f>VLOOKUP($A21,'6.2'!$A$13:$G$67,7,0)</f>
        <v>0.187</v>
      </c>
      <c r="F21" s="295">
        <f t="shared" ca="1" si="0"/>
        <v>8.7999999999999995E-2</v>
      </c>
      <c r="G21" s="62"/>
      <c r="H21" s="370">
        <f>'[6]trend 2.5'!$G$30*'trend 2.5'!G31</f>
        <v>1.2619039999999999</v>
      </c>
      <c r="K21" s="2"/>
    </row>
    <row r="22" spans="1:12" x14ac:dyDescent="0.2">
      <c r="A22" s="156" t="s">
        <v>285</v>
      </c>
      <c r="B22" s="154"/>
      <c r="C22" s="120">
        <f>VLOOKUP($A22,'6.2'!$A$13:$G$67,5,0)</f>
        <v>261099035.45153761</v>
      </c>
      <c r="D22" s="296">
        <v>1</v>
      </c>
      <c r="E22" s="62">
        <f>VLOOKUP($A22,'6.2'!$A$13:$G$67,7,0)</f>
        <v>1.046</v>
      </c>
      <c r="F22" s="295">
        <f t="shared" ca="1" si="0"/>
        <v>0.94700000000000006</v>
      </c>
      <c r="G22" s="62"/>
      <c r="H22" s="370">
        <f>'[6]trend 2.5'!$G$32*'trend 2.5'!G31</f>
        <v>1.14449</v>
      </c>
      <c r="K22" s="2"/>
    </row>
    <row r="23" spans="1:12" x14ac:dyDescent="0.2">
      <c r="A23" s="156" t="s">
        <v>299</v>
      </c>
      <c r="B23" s="154"/>
      <c r="C23" s="120">
        <f>VLOOKUP($A23,'6.2'!$A$13:$G$67,5,0)</f>
        <v>403864588.68160826</v>
      </c>
      <c r="D23" s="296">
        <v>1</v>
      </c>
      <c r="E23" s="62">
        <f>VLOOKUP($A23,'6.2'!$A$13:$G$67,7,0)</f>
        <v>4.7E-2</v>
      </c>
      <c r="F23" s="295">
        <f t="shared" ca="1" si="0"/>
        <v>0</v>
      </c>
      <c r="G23" s="62"/>
      <c r="H23" s="370">
        <f>'[7]trend 2.5'!$G$30*H25</f>
        <v>1.375462</v>
      </c>
      <c r="K23" s="2"/>
    </row>
    <row r="24" spans="1:12" x14ac:dyDescent="0.2">
      <c r="A24" s="156" t="s">
        <v>300</v>
      </c>
      <c r="B24" s="154"/>
      <c r="C24" s="120">
        <f>VLOOKUP($A24,'6.2'!$A$13:$G$67,5,0)</f>
        <v>501518052.03257853</v>
      </c>
      <c r="D24" s="296">
        <v>2</v>
      </c>
      <c r="E24" s="62">
        <f>VLOOKUP($A24,'6.2'!$A$13:$G$67,7,0)</f>
        <v>4.0830000000000002</v>
      </c>
      <c r="F24" s="295">
        <f t="shared" ca="1" si="0"/>
        <v>1.992</v>
      </c>
      <c r="G24" s="62"/>
      <c r="H24" s="370">
        <f>'[7]trend 2.5'!$G$31*H25</f>
        <v>1.346004</v>
      </c>
      <c r="K24" s="2"/>
      <c r="L24" t="s">
        <v>344</v>
      </c>
    </row>
    <row r="25" spans="1:12" x14ac:dyDescent="0.2">
      <c r="A25" s="354" t="s">
        <v>470</v>
      </c>
      <c r="B25" s="154"/>
      <c r="C25" s="120">
        <f>VLOOKUP($A25,'6.2'!$A$13:$G$67,5,0)</f>
        <v>587946262.49750006</v>
      </c>
      <c r="D25" s="296">
        <v>1</v>
      </c>
      <c r="E25" s="62">
        <f ca="1">VLOOKUP($A25,'6.2'!$A$13:$G$68,7,0)</f>
        <v>2.0470449999999998</v>
      </c>
      <c r="F25" s="295">
        <f t="shared" ca="1" si="0"/>
        <v>1.9480449999999998</v>
      </c>
      <c r="G25" s="62"/>
      <c r="H25" s="370">
        <f>'trend 2.5'!G35</f>
        <v>1.133</v>
      </c>
      <c r="K25" s="2"/>
    </row>
    <row r="26" spans="1:12" x14ac:dyDescent="0.2">
      <c r="A26" s="354" t="s">
        <v>468</v>
      </c>
      <c r="B26" s="154"/>
      <c r="C26" s="120">
        <f>VLOOKUP($A26,'6.2'!$A$13:$G$67,5,0)</f>
        <v>527999008.65000135</v>
      </c>
      <c r="D26" s="296">
        <v>3</v>
      </c>
      <c r="E26" s="62">
        <f ca="1">VLOOKUP($A26,'6.2'!$A$13:$G$68,7,0)</f>
        <v>0.133686</v>
      </c>
      <c r="F26" s="295">
        <f ca="1">MAX(E26-$E$31,0)/D26</f>
        <v>1.1561999999999998E-2</v>
      </c>
      <c r="G26" s="62"/>
      <c r="H26" s="370">
        <f>'trend 2.5'!G38</f>
        <v>1.097</v>
      </c>
      <c r="K26" s="2"/>
    </row>
    <row r="27" spans="1:12" x14ac:dyDescent="0.2">
      <c r="A27" s="354" t="s">
        <v>469</v>
      </c>
      <c r="B27" s="154"/>
      <c r="C27" s="120">
        <f>VLOOKUP($A27,'6.2'!$A$13:$G$68,5,0)</f>
        <v>540684513.40000224</v>
      </c>
      <c r="D27" s="296">
        <v>1</v>
      </c>
      <c r="E27" s="62">
        <f ca="1">VLOOKUP($A27,'6.2'!$A$13:$G$68,7,0)</f>
        <v>0.25641000000000003</v>
      </c>
      <c r="F27" s="295">
        <f ca="1">MAX(E27-$E$31,0)/D27</f>
        <v>0.15741000000000002</v>
      </c>
      <c r="G27" s="70"/>
      <c r="H27" s="372">
        <f>'trend 2.5'!G39</f>
        <v>1.0409999999999999</v>
      </c>
      <c r="K27" s="2"/>
    </row>
    <row r="28" spans="1:12" x14ac:dyDescent="0.2">
      <c r="A28" s="318" t="s">
        <v>117</v>
      </c>
      <c r="B28" s="313"/>
      <c r="C28" s="319"/>
      <c r="D28" s="313"/>
      <c r="E28" s="307"/>
      <c r="F28" s="320"/>
      <c r="G28" s="50"/>
      <c r="H28" s="50"/>
      <c r="K28" s="2"/>
    </row>
    <row r="29" spans="1:12" x14ac:dyDescent="0.2">
      <c r="A29" s="64"/>
      <c r="C29" s="38"/>
      <c r="D29" s="38"/>
      <c r="E29" s="60">
        <f ca="1">ROUND(AVERAGE(E13:E27),3)</f>
        <v>1.0589999999999999</v>
      </c>
      <c r="F29" s="60">
        <f ca="1">ROUND(AVERAGE(F13:F27),3)</f>
        <v>0.83099999999999996</v>
      </c>
      <c r="G29" s="60"/>
      <c r="H29" s="60"/>
      <c r="K29" s="2"/>
    </row>
    <row r="30" spans="1:12" x14ac:dyDescent="0.2">
      <c r="C30" s="38"/>
      <c r="D30" s="38"/>
      <c r="E30" s="47"/>
      <c r="F30" s="47"/>
      <c r="G30" s="162"/>
      <c r="H30" s="162"/>
      <c r="K30" s="2"/>
    </row>
    <row r="31" spans="1:12" x14ac:dyDescent="0.2">
      <c r="A31" s="64" t="s">
        <v>124</v>
      </c>
      <c r="B31" t="s">
        <v>125</v>
      </c>
      <c r="C31" s="38"/>
      <c r="D31" s="38"/>
      <c r="E31" s="60">
        <f ca="1">'6.2'!$G$72</f>
        <v>9.9000000000000005E-2</v>
      </c>
      <c r="F31" s="60"/>
      <c r="K31" s="2"/>
    </row>
    <row r="32" spans="1:12" x14ac:dyDescent="0.2">
      <c r="E32" s="45"/>
      <c r="F32" s="45"/>
      <c r="K32" s="2"/>
    </row>
    <row r="33" spans="1:12" x14ac:dyDescent="0.2">
      <c r="A33" s="64" t="s">
        <v>487</v>
      </c>
      <c r="B33" t="s">
        <v>483</v>
      </c>
      <c r="E33" s="63">
        <f ca="1">F29</f>
        <v>0.83099999999999996</v>
      </c>
      <c r="F33" s="63"/>
      <c r="G33" s="20"/>
      <c r="H33" s="20"/>
      <c r="K33" s="2"/>
    </row>
    <row r="34" spans="1:12" x14ac:dyDescent="0.2">
      <c r="A34" s="289" t="s">
        <v>488</v>
      </c>
      <c r="B34" t="s">
        <v>484</v>
      </c>
      <c r="E34" s="63">
        <f ca="1">F29</f>
        <v>0.83099999999999996</v>
      </c>
      <c r="F34" s="45"/>
      <c r="K34" s="2"/>
      <c r="L34" s="79"/>
    </row>
    <row r="35" spans="1:12" x14ac:dyDescent="0.2">
      <c r="K35" s="2"/>
      <c r="L35" s="78"/>
    </row>
    <row r="36" spans="1:12" x14ac:dyDescent="0.2">
      <c r="A36" s="64" t="s">
        <v>122</v>
      </c>
      <c r="B36" t="s">
        <v>279</v>
      </c>
      <c r="E36" s="45"/>
      <c r="F36" s="45"/>
      <c r="K36" s="2"/>
    </row>
    <row r="37" spans="1:12" x14ac:dyDescent="0.2">
      <c r="B37" t="str">
        <f>"(a) "&amp;'9'!A53&amp;" ("&amp;'9'!C53&amp;")"</f>
        <v>(a) 56-Year (1/1/1966 - 12/31/2021)</v>
      </c>
      <c r="E37" s="75">
        <f>'9'!$G$53</f>
        <v>0.33900000000000002</v>
      </c>
      <c r="F37" s="45" t="str">
        <f>"(1 Hurricane Every "&amp;TEXT(1/E37,"0.0")&amp;" years)"</f>
        <v>(1 Hurricane Every 2.9 years)</v>
      </c>
      <c r="K37" s="2"/>
    </row>
    <row r="38" spans="1:12" x14ac:dyDescent="0.2">
      <c r="B38" t="str">
        <f>"(a) "&amp;'9'!A54&amp;" ("&amp;'9'!C54&amp;")"</f>
        <v>(a) 171-Year (1/1/1851 - 12/31/2021)</v>
      </c>
      <c r="E38" s="75">
        <f>'9'!$G$54</f>
        <v>0.39800000000000002</v>
      </c>
      <c r="F38" s="45" t="str">
        <f>"(1 Hurricane Every "&amp;TEXT(1/E38,"0.0")&amp;" years)"</f>
        <v>(1 Hurricane Every 2.5 years)</v>
      </c>
      <c r="K38" s="2"/>
    </row>
    <row r="39" spans="1:12" x14ac:dyDescent="0.2">
      <c r="B39" s="22"/>
      <c r="E39" s="50"/>
      <c r="F39" s="50"/>
      <c r="K39" s="2"/>
    </row>
    <row r="40" spans="1:12" x14ac:dyDescent="0.2">
      <c r="B40" t="s">
        <v>280</v>
      </c>
      <c r="E40" s="151">
        <f>ROUND(E38,3)</f>
        <v>0.39800000000000002</v>
      </c>
      <c r="F40" s="45" t="str">
        <f>"(1 Hurricane Every "&amp;TEXT(1/E40,"0.0")&amp;" years)"</f>
        <v>(1 Hurricane Every 2.5 years)</v>
      </c>
      <c r="K40" s="2"/>
    </row>
    <row r="41" spans="1:12" x14ac:dyDescent="0.2">
      <c r="E41" s="45"/>
      <c r="F41" s="45"/>
      <c r="K41" s="2"/>
    </row>
    <row r="42" spans="1:12" x14ac:dyDescent="0.2">
      <c r="A42" s="64" t="s">
        <v>121</v>
      </c>
      <c r="B42" t="s">
        <v>485</v>
      </c>
      <c r="E42" s="63">
        <f ca="1">ROUND(E40*E34,3)</f>
        <v>0.33100000000000002</v>
      </c>
      <c r="F42" s="63"/>
      <c r="K42" s="2"/>
      <c r="L42" t="s">
        <v>217</v>
      </c>
    </row>
    <row r="43" spans="1:12" ht="10.5" thickBot="1" x14ac:dyDescent="0.25">
      <c r="A43" s="365" t="s">
        <v>114</v>
      </c>
      <c r="B43" s="6" t="s">
        <v>486</v>
      </c>
      <c r="C43" s="6"/>
      <c r="D43" s="6"/>
      <c r="E43" s="306">
        <f ca="1">E42*1.05</f>
        <v>0.34755000000000003</v>
      </c>
      <c r="F43" s="50"/>
      <c r="K43" s="2"/>
      <c r="L43" s="84">
        <f>'6.4'!K$55</f>
        <v>44469</v>
      </c>
    </row>
    <row r="44" spans="1:12" ht="10.5" thickTop="1" x14ac:dyDescent="0.2">
      <c r="E44" s="50"/>
      <c r="F44" s="50"/>
      <c r="K44" s="2"/>
    </row>
    <row r="45" spans="1:12" x14ac:dyDescent="0.2">
      <c r="A45" t="s">
        <v>17</v>
      </c>
      <c r="E45" s="58"/>
      <c r="F45" s="50"/>
      <c r="K45" s="2"/>
    </row>
    <row r="46" spans="1:12" x14ac:dyDescent="0.2">
      <c r="B46" s="22" t="str">
        <f>C12&amp;" "&amp;'6.2'!$J$1&amp;", "&amp;'6.2'!$J$2&amp;".  Accident years ending "&amp;TEXT($L$43,"m/d/xx")</f>
        <v>(1) Exhibit 6, Sheet 2.  Accident years ending 9/30/xx</v>
      </c>
      <c r="C46" s="22"/>
      <c r="E46" s="50"/>
      <c r="F46" s="50"/>
      <c r="K46" s="2"/>
    </row>
    <row r="47" spans="1:12" x14ac:dyDescent="0.2">
      <c r="B47" s="22" t="str">
        <f>E12&amp;" "&amp;'6.2'!$J$1&amp;", "&amp;'6.2'!$J$2&amp;".  Accident years ending "&amp;TEXT($L$43,"m/d/xx")</f>
        <v>(3) Exhibit 6, Sheet 2.  Accident years ending 9/30/xx</v>
      </c>
      <c r="E47" s="50"/>
      <c r="F47" s="50"/>
      <c r="K47" s="2"/>
    </row>
    <row r="48" spans="1:12" x14ac:dyDescent="0.2">
      <c r="B48" t="s">
        <v>388</v>
      </c>
      <c r="E48" s="50"/>
      <c r="F48" s="50"/>
      <c r="K48" s="2"/>
    </row>
    <row r="49" spans="1:11" x14ac:dyDescent="0.2">
      <c r="B49" t="s">
        <v>490</v>
      </c>
      <c r="E49" s="50"/>
      <c r="F49" s="50"/>
      <c r="K49" s="2"/>
    </row>
    <row r="50" spans="1:11" x14ac:dyDescent="0.2">
      <c r="B50" s="22" t="str">
        <f>A31&amp;" "&amp;'6.2'!$J$1&amp;", "&amp;'6.2'!$J$2</f>
        <v>(6) Exhibit 6, Sheet 2</v>
      </c>
      <c r="E50" s="50"/>
      <c r="F50" s="50"/>
      <c r="K50" s="2"/>
    </row>
    <row r="51" spans="1:11" x14ac:dyDescent="0.2">
      <c r="B51" s="22" t="str">
        <f>A33&amp;"= Average of "&amp;F12&amp;""</f>
        <v>(7) a= Average of (4)</v>
      </c>
      <c r="E51" s="50"/>
      <c r="F51" s="50"/>
      <c r="K51" s="2"/>
    </row>
    <row r="52" spans="1:11" x14ac:dyDescent="0.2">
      <c r="B52" t="s">
        <v>489</v>
      </c>
      <c r="E52" s="50"/>
      <c r="F52" s="50"/>
      <c r="K52" s="2"/>
    </row>
    <row r="53" spans="1:11" x14ac:dyDescent="0.2">
      <c r="B53" s="22" t="str">
        <f>A36&amp;" "&amp;'9'!$J$1</f>
        <v>(8) Exhibit 9</v>
      </c>
      <c r="E53" s="50"/>
      <c r="F53" s="50"/>
      <c r="K53" s="2"/>
    </row>
    <row r="54" spans="1:11" x14ac:dyDescent="0.2">
      <c r="A54" s="64"/>
      <c r="B54" s="22" t="str">
        <f>A42&amp;" = "&amp;A34&amp;" * "&amp;A36&amp;" Selected"</f>
        <v>(9) = (7) b * (8) Selected</v>
      </c>
      <c r="E54" s="63"/>
      <c r="F54" s="63"/>
      <c r="K54" s="2"/>
    </row>
    <row r="55" spans="1:11" x14ac:dyDescent="0.2">
      <c r="B55" s="22" t="str">
        <f>A43&amp;" = "&amp;A42&amp;"*"&amp;"Selected Net Trending Factor of 1.05, 1.05 is judgemently selected based on Net Trend Factor(5)"</f>
        <v>(10) = (9)*Selected Net Trending Factor of 1.05, 1.05 is judgemently selected based on Net Trend Factor(5)</v>
      </c>
      <c r="E55" s="50"/>
      <c r="F55" s="50"/>
      <c r="K55" s="2"/>
    </row>
    <row r="56" spans="1:11" x14ac:dyDescent="0.2">
      <c r="E56" s="50"/>
      <c r="F56" s="50"/>
      <c r="K56" s="2"/>
    </row>
    <row r="57" spans="1:11" x14ac:dyDescent="0.2">
      <c r="E57" s="50"/>
      <c r="F57" s="50"/>
      <c r="K57" s="2"/>
    </row>
    <row r="58" spans="1:11" ht="10.5" thickBot="1" x14ac:dyDescent="0.25">
      <c r="E58" s="50"/>
      <c r="F58" s="50"/>
      <c r="K58" s="2"/>
    </row>
    <row r="59" spans="1:11" ht="10.5" thickBot="1" x14ac:dyDescent="0.25">
      <c r="A59" s="4"/>
      <c r="B59" s="5"/>
      <c r="C59" s="5"/>
      <c r="D59" s="5"/>
      <c r="E59" s="5"/>
      <c r="F59" s="5"/>
      <c r="G59" s="5"/>
      <c r="H59" s="5"/>
      <c r="I59" s="5"/>
      <c r="J59" s="5"/>
      <c r="K5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  <ignoredErrors>
    <ignoredError sqref="A14:A19 A20" numberStoredAsText="1"/>
  </ignoredError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28">
    <tabColor rgb="FF92D050"/>
    <pageSetUpPr fitToPage="1"/>
  </sheetPr>
  <dimension ref="A1:M79"/>
  <sheetViews>
    <sheetView showGridLines="0" topLeftCell="A61" workbookViewId="0">
      <selection activeCell="G70" sqref="G70"/>
    </sheetView>
  </sheetViews>
  <sheetFormatPr defaultColWidth="11.33203125" defaultRowHeight="10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0" max="10" width="4.33203125" customWidth="1"/>
  </cols>
  <sheetData>
    <row r="1" spans="1:12" ht="10.5" x14ac:dyDescent="0.25">
      <c r="A1" s="8" t="str">
        <f>'1'!$A$1</f>
        <v>Texas Windstorm Insurance Association</v>
      </c>
      <c r="B1" s="12"/>
      <c r="I1" s="50"/>
      <c r="J1" s="7" t="s">
        <v>106</v>
      </c>
      <c r="K1" s="1"/>
    </row>
    <row r="2" spans="1:12" ht="10.5" x14ac:dyDescent="0.25">
      <c r="A2" s="8" t="str">
        <f>'1'!$A$2</f>
        <v>Residential Property - Wind &amp; Hail</v>
      </c>
      <c r="B2" s="12"/>
      <c r="I2" s="50"/>
      <c r="J2" s="7" t="s">
        <v>85</v>
      </c>
      <c r="K2" s="2"/>
    </row>
    <row r="3" spans="1:12" ht="10.5" x14ac:dyDescent="0.25">
      <c r="A3" s="8" t="str">
        <f>'1'!$A$3</f>
        <v>Rate Level Review</v>
      </c>
      <c r="B3" s="12"/>
      <c r="I3" s="50"/>
      <c r="K3" s="2"/>
    </row>
    <row r="4" spans="1:12" x14ac:dyDescent="0.2">
      <c r="A4" t="s">
        <v>107</v>
      </c>
      <c r="B4" s="12"/>
      <c r="I4" s="50"/>
      <c r="K4" s="2"/>
    </row>
    <row r="5" spans="1:12" x14ac:dyDescent="0.2">
      <c r="A5" t="str">
        <f>'6.1'!$L$5&amp;" - "&amp;'6.1'!$M$5</f>
        <v>1966 - 2021</v>
      </c>
      <c r="B5" s="12"/>
      <c r="I5" s="50"/>
      <c r="K5" s="2"/>
    </row>
    <row r="6" spans="1:12" ht="4.5" customHeight="1" thickBot="1" x14ac:dyDescent="0.25">
      <c r="A6" s="6"/>
      <c r="B6" s="6"/>
      <c r="C6" s="6"/>
      <c r="D6" s="6"/>
      <c r="E6" s="6"/>
      <c r="F6" s="6"/>
      <c r="G6" s="6"/>
      <c r="H6" s="6"/>
      <c r="I6" s="50"/>
      <c r="K6" s="2"/>
    </row>
    <row r="7" spans="1:12" ht="6" customHeight="1" thickTop="1" x14ac:dyDescent="0.2">
      <c r="I7" s="50"/>
      <c r="K7" s="2"/>
    </row>
    <row r="8" spans="1:12" x14ac:dyDescent="0.2">
      <c r="C8" s="22"/>
      <c r="D8" t="s">
        <v>126</v>
      </c>
      <c r="E8" t="s">
        <v>44</v>
      </c>
      <c r="I8" s="50"/>
      <c r="K8" s="2"/>
      <c r="L8" s="27"/>
    </row>
    <row r="9" spans="1:12" x14ac:dyDescent="0.2">
      <c r="A9" t="s">
        <v>53</v>
      </c>
      <c r="C9" t="s">
        <v>126</v>
      </c>
      <c r="D9" t="s">
        <v>127</v>
      </c>
      <c r="E9" t="s">
        <v>42</v>
      </c>
      <c r="F9" t="s">
        <v>87</v>
      </c>
      <c r="G9" t="s">
        <v>87</v>
      </c>
      <c r="H9" t="s">
        <v>6</v>
      </c>
      <c r="I9" s="50"/>
      <c r="K9" s="2"/>
      <c r="L9" s="22"/>
    </row>
    <row r="10" spans="1:12" x14ac:dyDescent="0.2">
      <c r="A10" s="9" t="s">
        <v>54</v>
      </c>
      <c r="B10" s="9"/>
      <c r="C10" s="9" t="s">
        <v>127</v>
      </c>
      <c r="D10" s="9" t="s">
        <v>128</v>
      </c>
      <c r="E10" s="9" t="s">
        <v>43</v>
      </c>
      <c r="F10" s="9" t="s">
        <v>118</v>
      </c>
      <c r="G10" s="9" t="s">
        <v>78</v>
      </c>
      <c r="H10" s="9" t="s">
        <v>79</v>
      </c>
      <c r="I10" s="50"/>
      <c r="K10" s="2"/>
      <c r="L10" s="52"/>
    </row>
    <row r="11" spans="1:12" x14ac:dyDescent="0.2">
      <c r="A11" s="13" t="str">
        <f>TEXT(COLUMN(),"(#)")</f>
        <v>(1)</v>
      </c>
      <c r="B11" s="13"/>
      <c r="C11" s="11" t="str">
        <f t="shared" ref="C11:H11" si="0">TEXT(COLUMN()-1,"(#)")</f>
        <v>(2)</v>
      </c>
      <c r="D11" s="11" t="str">
        <f t="shared" si="0"/>
        <v>(3)</v>
      </c>
      <c r="E11" s="11" t="str">
        <f t="shared" si="0"/>
        <v>(4)</v>
      </c>
      <c r="F11" s="11" t="str">
        <f t="shared" si="0"/>
        <v>(5)</v>
      </c>
      <c r="G11" s="11" t="str">
        <f t="shared" si="0"/>
        <v>(6)</v>
      </c>
      <c r="H11" s="11" t="str">
        <f t="shared" si="0"/>
        <v>(7)</v>
      </c>
      <c r="I11" s="113"/>
      <c r="K11" s="2"/>
    </row>
    <row r="12" spans="1:12" x14ac:dyDescent="0.2">
      <c r="A12" s="13"/>
      <c r="B12" s="13"/>
      <c r="C12" s="11"/>
      <c r="D12" s="11"/>
      <c r="E12" s="11"/>
      <c r="F12" s="11"/>
      <c r="G12" s="11"/>
      <c r="H12" s="11"/>
      <c r="I12" s="113"/>
      <c r="K12" s="2"/>
    </row>
    <row r="13" spans="1:12" x14ac:dyDescent="0.2">
      <c r="A13" s="181">
        <v>1966</v>
      </c>
      <c r="B13" s="12"/>
      <c r="D13" s="302">
        <v>13011528</v>
      </c>
      <c r="E13" s="31">
        <f>ROUND(D13*'6.4'!$K$14,0)</f>
        <v>29309032</v>
      </c>
      <c r="F13" s="302">
        <v>1178131</v>
      </c>
      <c r="G13" s="18">
        <f>ROUND(F13/E13,3)</f>
        <v>0.04</v>
      </c>
      <c r="I13" s="20"/>
      <c r="K13" s="2"/>
    </row>
    <row r="14" spans="1:12" x14ac:dyDescent="0.2">
      <c r="A14" t="str">
        <f>TEXT(A13+1,"#")</f>
        <v>1967</v>
      </c>
      <c r="B14" s="12"/>
      <c r="D14" s="302">
        <v>13130860</v>
      </c>
      <c r="E14" s="31">
        <f>ROUND(D14*'6.4'!$K$14,0)</f>
        <v>29577832</v>
      </c>
      <c r="F14" s="302">
        <v>663024</v>
      </c>
      <c r="G14" s="18">
        <f t="shared" ref="G14:G16" si="1">ROUND(F14/E14,3)</f>
        <v>2.1999999999999999E-2</v>
      </c>
      <c r="I14" s="20"/>
      <c r="K14" s="2"/>
    </row>
    <row r="15" spans="1:12" x14ac:dyDescent="0.2">
      <c r="A15" t="str">
        <f t="shared" ref="A15:A16" si="2">TEXT(A14+1,"#")</f>
        <v>1968</v>
      </c>
      <c r="D15" s="302">
        <v>12982730</v>
      </c>
      <c r="E15" s="31">
        <f>ROUND(D15*'6.4'!$K$14,0)</f>
        <v>29244163</v>
      </c>
      <c r="F15" s="302">
        <v>11171683</v>
      </c>
      <c r="G15" s="18">
        <f t="shared" si="1"/>
        <v>0.38200000000000001</v>
      </c>
      <c r="H15" s="220" t="s">
        <v>80</v>
      </c>
      <c r="I15" s="20"/>
      <c r="K15" s="2"/>
    </row>
    <row r="16" spans="1:12" x14ac:dyDescent="0.2">
      <c r="A16" t="str">
        <f t="shared" si="2"/>
        <v>1969</v>
      </c>
      <c r="D16" s="302">
        <v>12499176</v>
      </c>
      <c r="E16" s="31">
        <f>ROUND(D16*'6.4'!$K$14,0)</f>
        <v>28154937</v>
      </c>
      <c r="F16" s="302">
        <v>3218757</v>
      </c>
      <c r="G16" s="18">
        <f t="shared" si="1"/>
        <v>0.114</v>
      </c>
      <c r="H16" s="220"/>
      <c r="I16" s="20"/>
      <c r="K16" s="2"/>
    </row>
    <row r="17" spans="1:13" x14ac:dyDescent="0.2">
      <c r="A17" s="59" t="s">
        <v>264</v>
      </c>
      <c r="B17" s="59"/>
      <c r="C17" s="33"/>
      <c r="D17" s="38">
        <v>13243763</v>
      </c>
      <c r="E17" s="31">
        <f>ROUND(D17*'6.4'!$K$14,0)</f>
        <v>29832151</v>
      </c>
      <c r="F17" s="38">
        <v>20786468</v>
      </c>
      <c r="G17" s="23">
        <f t="shared" ref="G17:G25" si="3">ROUND(F17/E17,3)</f>
        <v>0.69699999999999995</v>
      </c>
      <c r="H17" s="227" t="s">
        <v>80</v>
      </c>
      <c r="I17" s="61"/>
      <c r="K17" s="2"/>
    </row>
    <row r="18" spans="1:13" x14ac:dyDescent="0.2">
      <c r="A18" s="59" t="str">
        <f t="shared" ref="A18:A64" si="4">TEXT(A17+1,"#")</f>
        <v>1971</v>
      </c>
      <c r="B18" s="59"/>
      <c r="C18" s="206">
        <v>10640335</v>
      </c>
      <c r="D18" s="38">
        <v>13198133</v>
      </c>
      <c r="E18" s="31">
        <f>ROUND(D18*'6.4'!$K$14,0)</f>
        <v>29729368</v>
      </c>
      <c r="F18" s="38">
        <v>22731206</v>
      </c>
      <c r="G18" s="23">
        <f>ROUND(F18/E18,3)</f>
        <v>0.76500000000000001</v>
      </c>
      <c r="H18" s="227" t="s">
        <v>80</v>
      </c>
      <c r="I18" s="63"/>
      <c r="K18" s="2"/>
    </row>
    <row r="19" spans="1:13" x14ac:dyDescent="0.2">
      <c r="A19" s="59" t="str">
        <f t="shared" si="4"/>
        <v>1972</v>
      </c>
      <c r="B19" s="59"/>
      <c r="C19" s="206">
        <v>12302040</v>
      </c>
      <c r="D19" s="38">
        <v>13902740</v>
      </c>
      <c r="E19" s="31">
        <f>ROUND(D19*'6.4'!$K$14,0)</f>
        <v>31316526</v>
      </c>
      <c r="F19" s="38">
        <v>2242093</v>
      </c>
      <c r="G19" s="23">
        <f>ROUND(F19/E19,3)</f>
        <v>7.1999999999999995E-2</v>
      </c>
      <c r="H19" s="227"/>
      <c r="I19" s="63"/>
      <c r="K19" s="2"/>
    </row>
    <row r="20" spans="1:13" x14ac:dyDescent="0.2">
      <c r="A20" t="str">
        <f t="shared" si="4"/>
        <v>1973</v>
      </c>
      <c r="B20" s="25"/>
      <c r="C20" s="206">
        <v>12935382</v>
      </c>
      <c r="D20" s="38">
        <v>12724690</v>
      </c>
      <c r="E20" s="31">
        <f>ROUND(D20*'6.4'!$K$14,0)</f>
        <v>28662917</v>
      </c>
      <c r="F20" s="38">
        <v>4933261</v>
      </c>
      <c r="G20" s="23">
        <f t="shared" si="3"/>
        <v>0.17199999999999999</v>
      </c>
      <c r="H20" s="206"/>
      <c r="I20" s="63"/>
      <c r="K20" s="2"/>
      <c r="M20" s="38"/>
    </row>
    <row r="21" spans="1:13" x14ac:dyDescent="0.2">
      <c r="A21" t="str">
        <f t="shared" si="4"/>
        <v>1974</v>
      </c>
      <c r="B21" s="25"/>
      <c r="C21" s="206">
        <v>12794652</v>
      </c>
      <c r="D21" s="38">
        <v>11637700</v>
      </c>
      <c r="E21" s="31">
        <f>ROUND(D21*'6.4'!$K$14,0)</f>
        <v>26214425</v>
      </c>
      <c r="F21" s="38">
        <v>2293219</v>
      </c>
      <c r="G21" s="23">
        <f t="shared" si="3"/>
        <v>8.6999999999999994E-2</v>
      </c>
      <c r="H21" s="206"/>
      <c r="I21" s="63"/>
      <c r="K21" s="2"/>
      <c r="M21" s="38"/>
    </row>
    <row r="22" spans="1:13" x14ac:dyDescent="0.2">
      <c r="A22" t="str">
        <f t="shared" si="4"/>
        <v>1975</v>
      </c>
      <c r="B22" s="25"/>
      <c r="C22" s="206">
        <v>13633616</v>
      </c>
      <c r="D22" s="38">
        <v>12392309</v>
      </c>
      <c r="E22" s="31">
        <f>ROUND(D22*'6.4'!$K$14,0)</f>
        <v>27914214</v>
      </c>
      <c r="F22" s="38">
        <v>3062897</v>
      </c>
      <c r="G22" s="23">
        <f t="shared" si="3"/>
        <v>0.11</v>
      </c>
      <c r="H22" s="206"/>
      <c r="I22" s="63"/>
      <c r="K22" s="2"/>
      <c r="M22" s="38"/>
    </row>
    <row r="23" spans="1:13" x14ac:dyDescent="0.2">
      <c r="A23" t="str">
        <f t="shared" si="4"/>
        <v>1976</v>
      </c>
      <c r="B23" s="25"/>
      <c r="C23" s="206">
        <v>17088846</v>
      </c>
      <c r="D23" s="38">
        <v>13884831</v>
      </c>
      <c r="E23" s="31">
        <f>ROUND(D23*'6.4'!$K$14,0)</f>
        <v>31276185</v>
      </c>
      <c r="F23" s="38">
        <v>1522489</v>
      </c>
      <c r="G23" s="23">
        <f>ROUND(F23/E23,3)</f>
        <v>4.9000000000000002E-2</v>
      </c>
      <c r="H23" s="206"/>
      <c r="I23" s="63"/>
      <c r="K23" s="2"/>
      <c r="M23" s="38"/>
    </row>
    <row r="24" spans="1:13" x14ac:dyDescent="0.2">
      <c r="A24" t="str">
        <f t="shared" si="4"/>
        <v>1977</v>
      </c>
      <c r="B24" s="25"/>
      <c r="C24" s="206">
        <v>23643216</v>
      </c>
      <c r="D24" s="38">
        <v>17474220</v>
      </c>
      <c r="E24" s="31">
        <f>ROUND(D24*'6.4'!$K$14,0)</f>
        <v>39361439</v>
      </c>
      <c r="F24" s="38">
        <v>972383</v>
      </c>
      <c r="G24" s="23">
        <f t="shared" si="3"/>
        <v>2.5000000000000001E-2</v>
      </c>
      <c r="H24" s="206"/>
      <c r="I24" s="63"/>
      <c r="K24" s="2"/>
      <c r="M24" s="38"/>
    </row>
    <row r="25" spans="1:13" x14ac:dyDescent="0.2">
      <c r="A25" t="str">
        <f t="shared" si="4"/>
        <v>1978</v>
      </c>
      <c r="B25" s="25"/>
      <c r="C25" s="206">
        <v>28157329</v>
      </c>
      <c r="D25" s="38">
        <v>19320941</v>
      </c>
      <c r="E25" s="31">
        <f>ROUND(D25*'6.4'!$K$14,0)</f>
        <v>43521259</v>
      </c>
      <c r="F25" s="38">
        <v>1449823</v>
      </c>
      <c r="G25" s="23">
        <f t="shared" si="3"/>
        <v>3.3000000000000002E-2</v>
      </c>
      <c r="H25" s="206"/>
      <c r="I25" s="63"/>
      <c r="K25" s="2"/>
      <c r="M25" s="38"/>
    </row>
    <row r="26" spans="1:13" x14ac:dyDescent="0.2">
      <c r="A26" t="str">
        <f t="shared" si="4"/>
        <v>1979</v>
      </c>
      <c r="B26" s="25"/>
      <c r="C26" s="206">
        <v>32867536</v>
      </c>
      <c r="D26" s="38">
        <v>21563567</v>
      </c>
      <c r="E26" s="31">
        <f>ROUND(D26*'6.4'!$K$14,0)</f>
        <v>48572871</v>
      </c>
      <c r="F26" s="38">
        <v>3940899</v>
      </c>
      <c r="G26" s="23">
        <f>ROUND(F26/E26,3)</f>
        <v>8.1000000000000003E-2</v>
      </c>
      <c r="H26" s="206"/>
      <c r="I26" s="63"/>
      <c r="K26" s="2"/>
      <c r="M26" s="38"/>
    </row>
    <row r="27" spans="1:13" x14ac:dyDescent="0.2">
      <c r="A27" t="str">
        <f t="shared" si="4"/>
        <v>1980</v>
      </c>
      <c r="B27" s="25"/>
      <c r="C27" s="206">
        <v>32179994</v>
      </c>
      <c r="D27" s="38">
        <v>22416603</v>
      </c>
      <c r="E27" s="31">
        <f>ROUND(D27*'6.4'!$K$14,0)</f>
        <v>50494372</v>
      </c>
      <c r="F27" s="38"/>
      <c r="G27" s="194">
        <v>0.748</v>
      </c>
      <c r="H27" s="206" t="s">
        <v>80</v>
      </c>
      <c r="I27" s="63"/>
      <c r="K27" s="2"/>
      <c r="M27" s="38"/>
    </row>
    <row r="28" spans="1:13" x14ac:dyDescent="0.2">
      <c r="A28" t="str">
        <f t="shared" si="4"/>
        <v>1981</v>
      </c>
      <c r="B28" s="25"/>
      <c r="C28" s="207">
        <v>30817037</v>
      </c>
      <c r="D28" s="38">
        <v>29693419</v>
      </c>
      <c r="E28" s="31">
        <f>ROUND(D28*'6.4'!$K$14,0)</f>
        <v>66885716</v>
      </c>
      <c r="F28" s="38"/>
      <c r="G28" s="194">
        <v>3.2000000000000001E-2</v>
      </c>
      <c r="H28" s="206"/>
      <c r="I28" s="63"/>
      <c r="K28" s="2"/>
      <c r="M28" s="38"/>
    </row>
    <row r="29" spans="1:13" x14ac:dyDescent="0.2">
      <c r="A29" s="9" t="str">
        <f t="shared" si="4"/>
        <v>1982</v>
      </c>
      <c r="B29" s="26"/>
      <c r="C29" s="235">
        <v>28140159</v>
      </c>
      <c r="D29" s="67">
        <v>32398474</v>
      </c>
      <c r="E29" s="32">
        <f>ROUND(D29*'6.4'!$K$14,0)</f>
        <v>72978970</v>
      </c>
      <c r="F29" s="67"/>
      <c r="G29" s="236">
        <v>2.3E-2</v>
      </c>
      <c r="H29" s="235"/>
      <c r="I29" s="63"/>
      <c r="K29" s="2"/>
      <c r="M29" s="38"/>
    </row>
    <row r="30" spans="1:13" x14ac:dyDescent="0.2">
      <c r="A30" s="50" t="str">
        <f t="shared" si="4"/>
        <v>1983</v>
      </c>
      <c r="B30" s="50"/>
      <c r="C30" s="207">
        <v>28786234</v>
      </c>
      <c r="D30" s="47"/>
      <c r="E30" s="120">
        <f>'6.4'!E14+'6.5'!E14+'6.6'!E14+'6.7'!E14</f>
        <v>64842240.268167496</v>
      </c>
      <c r="F30" s="120"/>
      <c r="G30" s="53">
        <f>'6.3'!H14</f>
        <v>5.2240000000000002</v>
      </c>
      <c r="H30" s="207" t="s">
        <v>80</v>
      </c>
      <c r="I30" s="61"/>
      <c r="K30" s="2"/>
      <c r="M30" s="38"/>
    </row>
    <row r="31" spans="1:13" x14ac:dyDescent="0.2">
      <c r="A31" s="50" t="str">
        <f t="shared" si="4"/>
        <v>1984</v>
      </c>
      <c r="B31" s="50"/>
      <c r="C31" s="207">
        <v>20078668</v>
      </c>
      <c r="D31" s="47"/>
      <c r="E31" s="120">
        <f>'6.4'!E15+'6.5'!E15+'6.6'!E15+'6.7'!E15</f>
        <v>45228071.758213416</v>
      </c>
      <c r="F31" s="120"/>
      <c r="G31" s="53">
        <f>'6.3'!H15</f>
        <v>0.13800000000000001</v>
      </c>
      <c r="H31" s="207"/>
      <c r="I31" s="61"/>
      <c r="K31" s="2"/>
      <c r="M31" s="38"/>
    </row>
    <row r="32" spans="1:13" x14ac:dyDescent="0.2">
      <c r="A32" t="str">
        <f t="shared" si="4"/>
        <v>1985</v>
      </c>
      <c r="C32" s="206">
        <v>30043452</v>
      </c>
      <c r="D32" s="38"/>
      <c r="E32" s="120">
        <f>'6.4'!E16+'6.5'!E16+'6.6'!E16+'6.7'!E16</f>
        <v>67674180.28309384</v>
      </c>
      <c r="F32" s="31"/>
      <c r="G32" s="53">
        <f>'6.3'!H16</f>
        <v>5.8999999999999997E-2</v>
      </c>
      <c r="H32" s="206"/>
      <c r="I32" s="234"/>
      <c r="K32" s="2"/>
    </row>
    <row r="33" spans="1:13" x14ac:dyDescent="0.2">
      <c r="A33" t="str">
        <f t="shared" si="4"/>
        <v>1986</v>
      </c>
      <c r="C33" s="206">
        <v>36673352</v>
      </c>
      <c r="D33" s="38"/>
      <c r="E33" s="120">
        <f>'6.4'!E17+'6.5'!E17+'6.6'!E17+'6.7'!E17</f>
        <v>82608316.254789531</v>
      </c>
      <c r="F33" s="31"/>
      <c r="G33" s="53">
        <f>'6.3'!H17</f>
        <v>0.105</v>
      </c>
      <c r="H33" s="207" t="s">
        <v>80</v>
      </c>
      <c r="I33" s="234"/>
      <c r="K33" s="2"/>
    </row>
    <row r="34" spans="1:13" x14ac:dyDescent="0.2">
      <c r="A34" t="str">
        <f t="shared" si="4"/>
        <v>1987</v>
      </c>
      <c r="C34" s="206">
        <v>41598709</v>
      </c>
      <c r="D34" s="38"/>
      <c r="E34" s="120">
        <f>'6.4'!E18+'6.5'!E18+'6.6'!E18+'6.7'!E18</f>
        <v>93702898.746453211</v>
      </c>
      <c r="F34" s="31"/>
      <c r="G34" s="53">
        <f>'6.3'!H18</f>
        <v>2.7E-2</v>
      </c>
      <c r="H34" s="207" t="s">
        <v>325</v>
      </c>
      <c r="I34" s="234"/>
      <c r="K34" s="2"/>
    </row>
    <row r="35" spans="1:13" x14ac:dyDescent="0.2">
      <c r="A35" t="str">
        <f t="shared" si="4"/>
        <v>1988</v>
      </c>
      <c r="C35" s="206">
        <v>45044392</v>
      </c>
      <c r="D35" s="80"/>
      <c r="E35" s="120">
        <f>'6.4'!E19+'6.5'!E19+'6.6'!E19+'6.7'!E19</f>
        <v>104280006.81941137</v>
      </c>
      <c r="F35" s="31"/>
      <c r="G35" s="53">
        <f>'6.3'!H19</f>
        <v>0.112</v>
      </c>
      <c r="H35" s="219"/>
      <c r="I35" s="234"/>
      <c r="K35" s="2"/>
    </row>
    <row r="36" spans="1:13" x14ac:dyDescent="0.2">
      <c r="A36" t="str">
        <f t="shared" si="4"/>
        <v>1989</v>
      </c>
      <c r="C36" s="226">
        <v>41745774</v>
      </c>
      <c r="D36" s="80"/>
      <c r="E36" s="120">
        <f>'6.4'!E20+'6.5'!E20+'6.6'!E20+'6.7'!E20</f>
        <v>99401872.051372439</v>
      </c>
      <c r="F36" s="31"/>
      <c r="G36" s="53">
        <f>'6.3'!H20</f>
        <v>7.5999999999999998E-2</v>
      </c>
      <c r="H36" s="219" t="s">
        <v>80</v>
      </c>
      <c r="I36" s="234"/>
      <c r="K36" s="2"/>
    </row>
    <row r="37" spans="1:13" x14ac:dyDescent="0.2">
      <c r="A37" s="59" t="str">
        <f t="shared" si="4"/>
        <v>1990</v>
      </c>
      <c r="B37" s="59"/>
      <c r="C37" s="207">
        <v>40384195</v>
      </c>
      <c r="D37" s="80"/>
      <c r="E37" s="120">
        <f>'6.4'!E21+'6.5'!E21+'6.6'!E21+'6.7'!E21</f>
        <v>94692054.081641838</v>
      </c>
      <c r="F37" s="31"/>
      <c r="G37" s="53">
        <f>'6.3'!H21</f>
        <v>0.19400000000000001</v>
      </c>
      <c r="H37" s="219"/>
      <c r="I37" s="234"/>
      <c r="K37" s="2"/>
    </row>
    <row r="38" spans="1:13" x14ac:dyDescent="0.2">
      <c r="A38" t="str">
        <f t="shared" si="4"/>
        <v>1991</v>
      </c>
      <c r="B38" s="22"/>
      <c r="C38" s="100">
        <f>'[3]TICO 2'!S36</f>
        <v>46237136.860229254</v>
      </c>
      <c r="D38" s="80"/>
      <c r="E38" s="120">
        <f>'6.4'!E22+'6.5'!E22+'6.6'!E22+'6.7'!E22</f>
        <v>94920885.536060244</v>
      </c>
      <c r="F38" s="31"/>
      <c r="G38" s="53">
        <f>'6.3'!H22</f>
        <v>0.88800000000000001</v>
      </c>
      <c r="H38" s="219" t="s">
        <v>325</v>
      </c>
      <c r="I38" s="234"/>
      <c r="K38" s="2"/>
    </row>
    <row r="39" spans="1:13" x14ac:dyDescent="0.2">
      <c r="A39" t="str">
        <f t="shared" si="4"/>
        <v>1992</v>
      </c>
      <c r="B39" s="22"/>
      <c r="C39" s="100">
        <f>'[3]TICO 2'!S37</f>
        <v>44512572.190501273</v>
      </c>
      <c r="D39" s="80"/>
      <c r="E39" s="120">
        <f>'6.4'!E23+'6.5'!E23+'6.6'!E23+'6.7'!E23</f>
        <v>112660892.77615812</v>
      </c>
      <c r="F39" s="31"/>
      <c r="G39" s="53">
        <f>'6.3'!H23</f>
        <v>6.3E-2</v>
      </c>
      <c r="H39" s="219" t="s">
        <v>325</v>
      </c>
      <c r="I39" s="234"/>
      <c r="K39" s="2"/>
    </row>
    <row r="40" spans="1:13" x14ac:dyDescent="0.2">
      <c r="A40" t="str">
        <f t="shared" si="4"/>
        <v>1993</v>
      </c>
      <c r="B40" s="22"/>
      <c r="C40" s="100">
        <f>'[3]TICO 2'!S38</f>
        <v>50741119.973159775</v>
      </c>
      <c r="D40" s="80"/>
      <c r="E40" s="120">
        <f>'6.4'!E24+'6.5'!E24+'6.6'!E24+'6.7'!E24</f>
        <v>177222041.4696312</v>
      </c>
      <c r="F40" s="31"/>
      <c r="G40" s="53">
        <f>'6.3'!H24</f>
        <v>7.8E-2</v>
      </c>
      <c r="H40" s="219" t="s">
        <v>325</v>
      </c>
      <c r="I40" s="234"/>
      <c r="K40" s="2"/>
    </row>
    <row r="41" spans="1:13" x14ac:dyDescent="0.2">
      <c r="A41" t="str">
        <f t="shared" si="4"/>
        <v>1994</v>
      </c>
      <c r="C41" s="100">
        <f>'[3]TICO 2'!S39</f>
        <v>57584585.297293335</v>
      </c>
      <c r="D41" s="80"/>
      <c r="E41" s="120">
        <f>'6.4'!E25+'6.5'!E25+'6.6'!E25+'6.7'!E25</f>
        <v>177917397.76641405</v>
      </c>
      <c r="F41" s="31"/>
      <c r="G41" s="53">
        <f>'6.3'!H25</f>
        <v>0.04</v>
      </c>
      <c r="H41" s="219" t="s">
        <v>325</v>
      </c>
      <c r="I41" s="234"/>
      <c r="K41" s="2"/>
    </row>
    <row r="42" spans="1:13" x14ac:dyDescent="0.2">
      <c r="A42" t="str">
        <f t="shared" si="4"/>
        <v>1995</v>
      </c>
      <c r="C42" s="100">
        <f>'[3]TICO 2'!S40</f>
        <v>60740049.308940537</v>
      </c>
      <c r="D42" s="80"/>
      <c r="E42" s="120">
        <f>'6.4'!E26+'6.5'!E26+'6.6'!E26+'6.7'!E26</f>
        <v>166814881.56416547</v>
      </c>
      <c r="F42" s="31"/>
      <c r="G42" s="53">
        <f>'6.3'!H26</f>
        <v>6.4000000000000001E-2</v>
      </c>
      <c r="H42" s="219" t="s">
        <v>325</v>
      </c>
      <c r="I42" s="234"/>
      <c r="K42" s="2"/>
    </row>
    <row r="43" spans="1:13" x14ac:dyDescent="0.2">
      <c r="A43" t="str">
        <f t="shared" si="4"/>
        <v>1996</v>
      </c>
      <c r="C43" s="100">
        <f>'[3]TICO 2'!S41</f>
        <v>71865572.173548162</v>
      </c>
      <c r="D43" s="80"/>
      <c r="E43" s="120">
        <f>'6.4'!E27+'6.5'!E27+'6.6'!E27+'6.7'!E27</f>
        <v>177632754.13827869</v>
      </c>
      <c r="F43" s="31"/>
      <c r="G43" s="53">
        <f>'6.3'!H27</f>
        <v>3.5999999999999997E-2</v>
      </c>
      <c r="H43" s="219" t="s">
        <v>325</v>
      </c>
      <c r="I43" s="234"/>
      <c r="K43" s="2"/>
    </row>
    <row r="44" spans="1:13" x14ac:dyDescent="0.2">
      <c r="A44" t="str">
        <f t="shared" si="4"/>
        <v>1997</v>
      </c>
      <c r="C44" s="100">
        <f>'[3]TICO 2'!S42</f>
        <v>79154547.157164395</v>
      </c>
      <c r="D44" s="80"/>
      <c r="E44" s="120">
        <f>'6.4'!E28+'6.5'!E28+'6.6'!E28+'6.7'!E28</f>
        <v>195649178.85857028</v>
      </c>
      <c r="F44" s="31"/>
      <c r="G44" s="53">
        <f>'6.3'!H28</f>
        <v>4.3999999999999997E-2</v>
      </c>
      <c r="H44" s="219" t="s">
        <v>325</v>
      </c>
      <c r="I44" s="234"/>
      <c r="K44" s="2"/>
    </row>
    <row r="45" spans="1:13" x14ac:dyDescent="0.2">
      <c r="A45" t="str">
        <f t="shared" si="4"/>
        <v>1998</v>
      </c>
      <c r="C45" s="100">
        <f>'[3]TICO 2'!S43</f>
        <v>80238259.539037794</v>
      </c>
      <c r="D45" s="80"/>
      <c r="E45" s="120">
        <f>'6.4'!E29+'6.5'!E29+'6.6'!E29+'6.7'!E29</f>
        <v>198129700.87117207</v>
      </c>
      <c r="F45" s="31"/>
      <c r="G45" s="53">
        <f>'6.3'!H29</f>
        <v>0.20200000000000001</v>
      </c>
      <c r="H45" s="219" t="s">
        <v>325</v>
      </c>
      <c r="I45" s="234"/>
      <c r="K45" s="2"/>
    </row>
    <row r="46" spans="1:13" x14ac:dyDescent="0.2">
      <c r="A46" t="str">
        <f t="shared" si="4"/>
        <v>1999</v>
      </c>
      <c r="C46" s="100">
        <f>'[3]TICO 2'!S44</f>
        <v>71026551.585025504</v>
      </c>
      <c r="D46" s="80"/>
      <c r="E46" s="120">
        <f>'6.4'!E30+'6.5'!E30+'6.6'!E30+'6.7'!E30</f>
        <v>183849421.69128418</v>
      </c>
      <c r="F46" s="31"/>
      <c r="G46" s="53">
        <f>'6.3'!H30</f>
        <v>8.3000000000000004E-2</v>
      </c>
      <c r="H46" s="219" t="s">
        <v>80</v>
      </c>
      <c r="I46" s="234"/>
      <c r="K46" s="2"/>
      <c r="L46" t="s">
        <v>217</v>
      </c>
      <c r="M46" t="s">
        <v>218</v>
      </c>
    </row>
    <row r="47" spans="1:13" x14ac:dyDescent="0.2">
      <c r="A47" t="str">
        <f t="shared" si="4"/>
        <v>2000</v>
      </c>
      <c r="C47" s="100">
        <f>'[3]TICO 2'!S45</f>
        <v>75114173.966088086</v>
      </c>
      <c r="D47" s="197"/>
      <c r="E47" s="120">
        <f>'6.4'!E31+'6.5'!E31+'6.6'!E31+'6.7'!E31</f>
        <v>195990799.92270005</v>
      </c>
      <c r="F47" s="31"/>
      <c r="G47" s="53">
        <f>'6.3'!H31</f>
        <v>4.7E-2</v>
      </c>
      <c r="H47" s="219" t="s">
        <v>325</v>
      </c>
      <c r="I47" s="234"/>
      <c r="K47" s="2"/>
      <c r="L47" s="84">
        <f>'6.4'!K$55</f>
        <v>44469</v>
      </c>
      <c r="M47" s="84">
        <f>'6.4'!L$55</f>
        <v>44561</v>
      </c>
    </row>
    <row r="48" spans="1:13" x14ac:dyDescent="0.2">
      <c r="A48" t="str">
        <f t="shared" si="4"/>
        <v>2001</v>
      </c>
      <c r="C48" s="100">
        <f>'[3]TICO 2'!S46</f>
        <v>74726401.205720931</v>
      </c>
      <c r="D48" s="197"/>
      <c r="E48" s="120">
        <f>'6.4'!E32+'6.5'!E32+'6.6'!E32+'6.7'!E32</f>
        <v>171328384.83300963</v>
      </c>
      <c r="F48" s="31"/>
      <c r="G48" s="53">
        <f>'6.3'!H32</f>
        <v>6.5000000000000002E-2</v>
      </c>
      <c r="H48" s="219" t="s">
        <v>325</v>
      </c>
      <c r="I48" s="234"/>
      <c r="K48" s="2"/>
    </row>
    <row r="49" spans="1:11" x14ac:dyDescent="0.2">
      <c r="A49" t="str">
        <f t="shared" si="4"/>
        <v>2002</v>
      </c>
      <c r="C49" s="100">
        <f>'[3]TICO 2'!S47</f>
        <v>86289350</v>
      </c>
      <c r="D49" s="197"/>
      <c r="E49" s="120">
        <f>'6.4'!E33+'6.5'!E33+'6.6'!E33+'6.7'!E33</f>
        <v>182396099.10896838</v>
      </c>
      <c r="F49" s="31"/>
      <c r="G49" s="53">
        <f>'6.3'!H33</f>
        <v>0.16500000000000001</v>
      </c>
      <c r="H49" s="219" t="s">
        <v>325</v>
      </c>
      <c r="I49" s="234"/>
      <c r="K49" s="2"/>
    </row>
    <row r="50" spans="1:11" x14ac:dyDescent="0.2">
      <c r="A50" t="str">
        <f t="shared" si="4"/>
        <v>2003</v>
      </c>
      <c r="C50" s="100">
        <f>'[3]TICO 2'!S48</f>
        <v>112200741</v>
      </c>
      <c r="D50" s="197"/>
      <c r="E50" s="120">
        <f>'6.4'!E34+'6.5'!E34+'6.6'!E34+'6.7'!E34</f>
        <v>237166897.49597093</v>
      </c>
      <c r="G50" s="53">
        <f>'6.3'!H34</f>
        <v>0.187</v>
      </c>
      <c r="H50" s="219" t="s">
        <v>80</v>
      </c>
      <c r="I50" s="234"/>
      <c r="K50" s="2"/>
    </row>
    <row r="51" spans="1:11" x14ac:dyDescent="0.2">
      <c r="A51" t="str">
        <f t="shared" si="4"/>
        <v>2004</v>
      </c>
      <c r="C51" s="100">
        <f>'[3]TICO 2'!S49</f>
        <v>123050217</v>
      </c>
      <c r="D51" s="197"/>
      <c r="E51" s="120">
        <f>'6.4'!E35+'6.5'!E35+'6.6'!E35+'6.7'!E35</f>
        <v>248017394.96585715</v>
      </c>
      <c r="F51" s="59"/>
      <c r="G51" s="53">
        <f>'6.3'!H35</f>
        <v>1.6E-2</v>
      </c>
      <c r="H51" s="219" t="s">
        <v>325</v>
      </c>
      <c r="I51" s="234"/>
      <c r="K51" s="2"/>
    </row>
    <row r="52" spans="1:11" x14ac:dyDescent="0.2">
      <c r="A52" t="str">
        <f t="shared" si="4"/>
        <v>2005</v>
      </c>
      <c r="C52" s="100">
        <f>'[3]TICO 2'!S50</f>
        <v>135380924</v>
      </c>
      <c r="D52" s="197"/>
      <c r="E52" s="120">
        <f>'6.4'!E36+'6.5'!E36+'6.6'!E36+'6.7'!E36</f>
        <v>261099035.45153761</v>
      </c>
      <c r="G52" s="53">
        <f>'6.3'!H36</f>
        <v>1.046</v>
      </c>
      <c r="H52" s="219" t="s">
        <v>80</v>
      </c>
      <c r="I52" s="234"/>
      <c r="K52" s="2"/>
    </row>
    <row r="53" spans="1:11" x14ac:dyDescent="0.2">
      <c r="A53" t="str">
        <f t="shared" si="4"/>
        <v>2006</v>
      </c>
      <c r="B53" s="51"/>
      <c r="C53" s="100">
        <f>'[3]TICO 2'!S51</f>
        <v>154699767</v>
      </c>
      <c r="D53" s="197"/>
      <c r="E53" s="120">
        <f>'6.4'!E37+'6.5'!E37+'6.6'!E37+'6.7'!E37</f>
        <v>297641803.76959211</v>
      </c>
      <c r="F53" s="120"/>
      <c r="G53" s="53">
        <f>'6.3'!H37</f>
        <v>1.9E-2</v>
      </c>
      <c r="H53" s="219" t="s">
        <v>325</v>
      </c>
      <c r="I53" s="234"/>
      <c r="K53" s="2"/>
    </row>
    <row r="54" spans="1:11" x14ac:dyDescent="0.2">
      <c r="A54" t="str">
        <f t="shared" si="4"/>
        <v>2007</v>
      </c>
      <c r="C54" s="100">
        <f>'[3]TICO 2'!S52</f>
        <v>219914305</v>
      </c>
      <c r="D54" s="197"/>
      <c r="E54" s="120">
        <f>'6.4'!E38+'6.5'!E38+'6.6'!E38+'6.7'!E38</f>
        <v>403864588.68160826</v>
      </c>
      <c r="G54" s="53">
        <f>'6.3'!H38</f>
        <v>4.7E-2</v>
      </c>
      <c r="H54" s="219" t="s">
        <v>80</v>
      </c>
      <c r="I54" s="20"/>
      <c r="K54" s="2"/>
    </row>
    <row r="55" spans="1:11" x14ac:dyDescent="0.2">
      <c r="A55" t="str">
        <f t="shared" si="4"/>
        <v>2008</v>
      </c>
      <c r="C55" s="100">
        <f>'[3]TICO 2'!S53</f>
        <v>289558186</v>
      </c>
      <c r="D55" s="197"/>
      <c r="E55" s="120">
        <f>'6.4'!E39+'6.5'!E39+'6.6'!E39+'6.7'!E39</f>
        <v>501518052.03257853</v>
      </c>
      <c r="G55" s="53">
        <f>'6.3'!H39</f>
        <v>4.0830000000000002</v>
      </c>
      <c r="H55" s="219" t="s">
        <v>80</v>
      </c>
      <c r="I55" s="20"/>
      <c r="K55" s="2"/>
    </row>
    <row r="56" spans="1:11" x14ac:dyDescent="0.2">
      <c r="A56" t="str">
        <f t="shared" si="4"/>
        <v>2009</v>
      </c>
      <c r="C56" s="100">
        <f>'[3]TICO 2'!S54</f>
        <v>327305758</v>
      </c>
      <c r="D56" s="197"/>
      <c r="E56" s="120">
        <f>'6.4'!E40+'6.5'!E40+'6.6'!E40+'6.7'!E40</f>
        <v>515061744.2236259</v>
      </c>
      <c r="G56" s="53">
        <f>'6.3'!H40</f>
        <v>1.7999999999999999E-2</v>
      </c>
      <c r="H56" s="219"/>
      <c r="I56" s="61"/>
      <c r="K56" s="2"/>
    </row>
    <row r="57" spans="1:11" x14ac:dyDescent="0.2">
      <c r="A57" t="str">
        <f t="shared" si="4"/>
        <v>2010</v>
      </c>
      <c r="C57" s="100">
        <f>'[3]TICO 2'!S55</f>
        <v>355219215</v>
      </c>
      <c r="D57" s="197"/>
      <c r="E57" s="120">
        <f>'6.4'!E41+'6.5'!E41+'6.6'!E41+'6.7'!E41</f>
        <v>524962455.69077015</v>
      </c>
      <c r="G57" s="53">
        <f>'6.3'!H41</f>
        <v>3.5000000000000003E-2</v>
      </c>
      <c r="H57" s="219"/>
      <c r="I57" s="61"/>
      <c r="K57" s="2"/>
    </row>
    <row r="58" spans="1:11" x14ac:dyDescent="0.2">
      <c r="A58" t="str">
        <f t="shared" si="4"/>
        <v>2011</v>
      </c>
      <c r="C58" s="100">
        <f>'[3]TICO 2'!S56</f>
        <v>370875863</v>
      </c>
      <c r="D58" s="197"/>
      <c r="E58" s="120">
        <f>'6.4'!E42+'6.5'!E42+'6.6'!E42+'6.7'!E42</f>
        <v>534562855.41677928</v>
      </c>
      <c r="G58" s="53">
        <f>'6.3'!H42</f>
        <v>0.17100000000000001</v>
      </c>
      <c r="H58" s="219" t="s">
        <v>325</v>
      </c>
      <c r="I58" s="61"/>
      <c r="K58" s="2"/>
    </row>
    <row r="59" spans="1:11" x14ac:dyDescent="0.2">
      <c r="A59" t="str">
        <f t="shared" si="4"/>
        <v>2012</v>
      </c>
      <c r="B59" s="50"/>
      <c r="C59" s="100">
        <f>'[3]TICO 2'!S57</f>
        <v>406981851</v>
      </c>
      <c r="D59" s="197"/>
      <c r="E59" s="120">
        <f>'6.4'!E43+'6.5'!E43+'6.6'!E43+'6.7'!E43</f>
        <v>558681022.62527263</v>
      </c>
      <c r="F59" s="50"/>
      <c r="G59" s="53">
        <f ca="1">'6.3'!H43</f>
        <v>0.13</v>
      </c>
      <c r="H59" s="220"/>
      <c r="I59" s="20"/>
      <c r="K59" s="2"/>
    </row>
    <row r="60" spans="1:11" x14ac:dyDescent="0.2">
      <c r="A60" t="str">
        <f t="shared" si="4"/>
        <v>2013</v>
      </c>
      <c r="B60" s="50"/>
      <c r="C60" s="100">
        <f>'[3]TICO 2'!S58</f>
        <v>440952159</v>
      </c>
      <c r="D60" s="210"/>
      <c r="E60" s="120">
        <f>'6.4'!E44+'6.5'!E44+'6.6'!E44+'6.7'!E44</f>
        <v>576566712.53045464</v>
      </c>
      <c r="F60" s="50"/>
      <c r="G60" s="53">
        <f ca="1">'6.3'!H44</f>
        <v>0.17199999999999999</v>
      </c>
      <c r="H60" s="219" t="s">
        <v>325</v>
      </c>
      <c r="I60" s="61"/>
      <c r="K60" s="2"/>
    </row>
    <row r="61" spans="1:11" x14ac:dyDescent="0.2">
      <c r="A61" t="str">
        <f t="shared" si="4"/>
        <v>2014</v>
      </c>
      <c r="B61" s="50"/>
      <c r="C61" s="100">
        <f>'[3]TICO 2'!S59</f>
        <v>477983216</v>
      </c>
      <c r="D61" s="210"/>
      <c r="E61" s="120">
        <f>'6.4'!E45+'6.5'!E45+'6.6'!E45+'6.7'!E45</f>
        <v>595350328.57775807</v>
      </c>
      <c r="F61" s="50"/>
      <c r="G61" s="53">
        <f ca="1">'6.3'!H45</f>
        <v>2.1000000000000001E-2</v>
      </c>
      <c r="H61" s="219"/>
      <c r="I61" s="61"/>
      <c r="K61" s="2"/>
    </row>
    <row r="62" spans="1:11" x14ac:dyDescent="0.2">
      <c r="A62" t="str">
        <f t="shared" si="4"/>
        <v>2015</v>
      </c>
      <c r="B62" s="50"/>
      <c r="C62" s="100">
        <f>'[3]TICO 2'!S60</f>
        <v>517579765</v>
      </c>
      <c r="D62" s="210"/>
      <c r="E62" s="120">
        <f>'6.4'!E46+'6.5'!E46+'6.6'!E46+'6.7'!E46</f>
        <v>614090012.38975632</v>
      </c>
      <c r="F62" s="50"/>
      <c r="G62" s="53">
        <f ca="1">'6.3'!H46</f>
        <v>0.22800000000000001</v>
      </c>
      <c r="H62" s="220"/>
      <c r="I62" s="162"/>
      <c r="K62" s="2"/>
    </row>
    <row r="63" spans="1:11" x14ac:dyDescent="0.2">
      <c r="A63" t="str">
        <f t="shared" si="4"/>
        <v>2016</v>
      </c>
      <c r="B63" s="50"/>
      <c r="C63" s="100">
        <f>'[3]TICO 2'!S61</f>
        <v>541982800</v>
      </c>
      <c r="D63" s="210"/>
      <c r="E63" s="120">
        <f>'6.4'!E47+'6.5'!E47+'6.6'!E47+'6.7'!E47</f>
        <v>612650712.83318377</v>
      </c>
      <c r="F63" s="50"/>
      <c r="G63" s="53">
        <f ca="1">'6.3'!H47</f>
        <v>8.2000000000000003E-2</v>
      </c>
      <c r="H63" s="220"/>
      <c r="I63" s="50"/>
      <c r="K63" s="2"/>
    </row>
    <row r="64" spans="1:11" x14ac:dyDescent="0.2">
      <c r="A64" t="str">
        <f t="shared" si="4"/>
        <v>2017</v>
      </c>
      <c r="B64" s="50"/>
      <c r="C64" s="100">
        <f>'[3]TICO 2'!S62</f>
        <v>533284592</v>
      </c>
      <c r="D64" s="210"/>
      <c r="E64" s="120">
        <f>'6.4'!E48+'6.5'!E48+'6.6'!E48+'6.7'!E48</f>
        <v>587946262.49750006</v>
      </c>
      <c r="F64" s="50"/>
      <c r="G64" s="53">
        <f ca="1">'6.3'!H48</f>
        <v>2.0470449999999998</v>
      </c>
      <c r="H64" s="220" t="s">
        <v>80</v>
      </c>
      <c r="I64" s="50"/>
      <c r="K64" s="2"/>
    </row>
    <row r="65" spans="1:11" x14ac:dyDescent="0.2">
      <c r="A65" t="s">
        <v>466</v>
      </c>
      <c r="B65" s="50"/>
      <c r="C65" s="100">
        <f>'[3]TICO 2'!S63</f>
        <v>516732311</v>
      </c>
      <c r="D65" s="210"/>
      <c r="E65" s="120">
        <f>'6.4'!E49+'6.5'!E49+'6.6'!E49+'6.7'!E49</f>
        <v>556428278.33704758</v>
      </c>
      <c r="F65" s="50"/>
      <c r="G65" s="53">
        <f ca="1">'6.3'!H49</f>
        <v>3.3165E-2</v>
      </c>
      <c r="H65" s="220"/>
      <c r="I65" s="50"/>
      <c r="K65" s="2"/>
    </row>
    <row r="66" spans="1:11" x14ac:dyDescent="0.2">
      <c r="A66" t="s">
        <v>467</v>
      </c>
      <c r="B66" s="50"/>
      <c r="C66" s="100">
        <f>'[3]TICO 2'!S64</f>
        <v>509685524</v>
      </c>
      <c r="D66" s="210"/>
      <c r="E66" s="120">
        <f>'6.4'!E50+'6.5'!E50+'6.6'!E50+'6.7'!E50</f>
        <v>535169799.89999795</v>
      </c>
      <c r="F66" s="50"/>
      <c r="G66" s="53">
        <f ca="1">'6.3'!H50</f>
        <v>6.2868000000000007E-2</v>
      </c>
      <c r="H66" s="220"/>
      <c r="I66" s="50"/>
      <c r="K66" s="2"/>
    </row>
    <row r="67" spans="1:11" x14ac:dyDescent="0.2">
      <c r="A67" t="s">
        <v>468</v>
      </c>
      <c r="B67" s="50"/>
      <c r="C67" s="100">
        <f>'[3]TICO 2'!S65</f>
        <v>502856199</v>
      </c>
      <c r="D67" s="210"/>
      <c r="E67" s="120">
        <f>'6.4'!E51+'6.5'!E51+'6.6'!E51+'6.7'!E51</f>
        <v>527999008.65000135</v>
      </c>
      <c r="F67" s="50"/>
      <c r="G67" s="53">
        <f ca="1">'6.3'!H51</f>
        <v>0.133686</v>
      </c>
      <c r="H67" s="220" t="s">
        <v>80</v>
      </c>
      <c r="I67" s="50"/>
      <c r="K67" s="2"/>
    </row>
    <row r="68" spans="1:11" x14ac:dyDescent="0.2">
      <c r="A68" t="s">
        <v>469</v>
      </c>
      <c r="B68" s="50"/>
      <c r="C68" s="100">
        <f>'[3]TICO 2'!S66</f>
        <v>514937632</v>
      </c>
      <c r="D68" s="210"/>
      <c r="E68" s="120">
        <f>'6.4'!E52+'6.5'!E52+'6.6'!E52+'6.7'!E52</f>
        <v>540684513.40000224</v>
      </c>
      <c r="F68" s="50"/>
      <c r="G68" s="53">
        <f ca="1">'6.3'!H52</f>
        <v>0.25641000000000003</v>
      </c>
      <c r="H68" s="220" t="s">
        <v>80</v>
      </c>
      <c r="I68" s="50"/>
      <c r="K68" s="2"/>
    </row>
    <row r="69" spans="1:11" x14ac:dyDescent="0.2">
      <c r="A69" s="51"/>
      <c r="B69" s="50"/>
      <c r="C69" s="100"/>
      <c r="D69" s="210"/>
      <c r="E69" s="120"/>
      <c r="F69" s="50"/>
      <c r="G69" s="53"/>
      <c r="H69" s="220"/>
      <c r="I69" s="50"/>
      <c r="K69" s="2"/>
    </row>
    <row r="70" spans="1:11" x14ac:dyDescent="0.2">
      <c r="A70" s="313" t="s">
        <v>30</v>
      </c>
      <c r="B70" s="313"/>
      <c r="C70" s="316">
        <f>SUM(C16:C68)</f>
        <v>8388966262.2567091</v>
      </c>
      <c r="D70" s="316">
        <f>SUM(D13:D67)</f>
        <v>285475684</v>
      </c>
      <c r="E70" s="316">
        <f>SUM(E16:E68)</f>
        <v>12471318908.268848</v>
      </c>
      <c r="F70" s="307"/>
      <c r="G70" s="317">
        <f ca="1">ROUND(AVERAGE(G13:G68),3)</f>
        <v>0.35599999999999998</v>
      </c>
      <c r="K70" s="2"/>
    </row>
    <row r="71" spans="1:11" x14ac:dyDescent="0.2">
      <c r="A71" t="s">
        <v>129</v>
      </c>
      <c r="C71" s="59"/>
      <c r="D71" s="59"/>
      <c r="E71" s="59"/>
      <c r="F71" s="59"/>
      <c r="G71" s="29">
        <f ca="1">ROUND(SUMIF(H13:H68,"&lt;&gt;H",G13:G68)/COUNTIF(H13:H68,"&lt;&gt;H"),3)</f>
        <v>9.9000000000000005E-2</v>
      </c>
      <c r="K71" s="2"/>
    </row>
    <row r="72" spans="1:11" ht="10.5" thickBot="1" x14ac:dyDescent="0.25">
      <c r="A72" s="6" t="s">
        <v>73</v>
      </c>
      <c r="B72" s="6"/>
      <c r="C72" s="6"/>
      <c r="D72" s="6"/>
      <c r="E72" s="6"/>
      <c r="F72" s="6"/>
      <c r="G72" s="267">
        <f ca="1">ROUND(AVERAGE(G71:G71),3)</f>
        <v>9.9000000000000005E-2</v>
      </c>
      <c r="K72" s="2"/>
    </row>
    <row r="73" spans="1:11" ht="10.5" hidden="1" thickBot="1" x14ac:dyDescent="0.25">
      <c r="A73" s="6"/>
      <c r="B73" s="6"/>
      <c r="C73" s="6"/>
      <c r="D73" s="6"/>
      <c r="E73" s="6"/>
      <c r="F73" s="6"/>
      <c r="G73" s="6"/>
      <c r="K73" s="2"/>
    </row>
    <row r="74" spans="1:11" ht="10.5" thickTop="1" x14ac:dyDescent="0.2">
      <c r="A74" t="s">
        <v>17</v>
      </c>
      <c r="B74" s="22" t="str">
        <f>C11&amp;", "&amp;D11&amp;" Provided by TDI.  Accident years ending "&amp;TEXT($L$47,"m/d/xx")&amp;" as of "&amp;TEXT($M$47,"m/d/yyyy")</f>
        <v>(2), (3) Provided by TDI.  Accident years ending 9/30/xx as of 12/31/2021</v>
      </c>
      <c r="I74" s="50"/>
      <c r="K74" s="2"/>
    </row>
    <row r="75" spans="1:11" x14ac:dyDescent="0.2">
      <c r="B75" s="22" t="str">
        <f>E11&amp;" "&amp;A30&amp;" - "&amp;YEAR(M47)&amp;": Sum of "&amp;'6.4'!$I$1&amp;", "&amp;'6.4'!$I$2&amp;" - "&amp;'6.7'!$I$2&amp;", "&amp;'6.4'!E12&amp;"; "&amp;A13&amp;" - "&amp;A29&amp;": "&amp;D11&amp;" * "&amp;TEXT('6.4'!$K$14,"0.0")</f>
        <v>(4) 1983 - 2021: Sum of Exhibit 6, Sheet 4 - Sheet 7, (4); 1966 - 1982: (3) * 2.3</v>
      </c>
      <c r="F75" s="45"/>
      <c r="K75" s="2"/>
    </row>
    <row r="76" spans="1:11" x14ac:dyDescent="0.2">
      <c r="B76" s="22" t="str">
        <f>F11&amp;" Provided by TDI.  Accident years ending "&amp;TEXT($L$47,"m/d/xx")&amp;" as of 12/31/2010"</f>
        <v>(5) Provided by TDI.  Accident years ending 9/30/xx as of 12/31/2010</v>
      </c>
      <c r="D76" s="22"/>
      <c r="K76" s="2"/>
    </row>
    <row r="77" spans="1:11" x14ac:dyDescent="0.2">
      <c r="B77" s="22" t="str">
        <f>G11&amp;" "&amp;A30&amp;" - "&amp;YEAR(M47)&amp;": "&amp;'6.3'!$I$1&amp;", "&amp;'6.3'!$I$2&amp;"; "&amp;A13&amp;" - "&amp;A29&amp;": "&amp;F11&amp;" / "&amp;E11</f>
        <v>(6) 1983 - 2021: Exhibit 6, Sheet 3; 1966 - 1982: (5) / (4)</v>
      </c>
      <c r="C77" s="59"/>
      <c r="D77" s="59"/>
      <c r="E77" s="59"/>
      <c r="K77" s="2"/>
    </row>
    <row r="78" spans="1:11" ht="10.5" thickBot="1" x14ac:dyDescent="0.25">
      <c r="B78" t="str">
        <f>H11&amp;" ""H"" indicates occurrence of hurricane(s) during the time period (years ending "&amp;TEXT($L$47,"m/d/xx")&amp;")"</f>
        <v>(7) "H" indicates occurrence of hurricane(s) during the time period (years ending 9/30/xx)</v>
      </c>
      <c r="K78" s="2"/>
    </row>
    <row r="79" spans="1:11" ht="10.5" thickBot="1" x14ac:dyDescent="0.25">
      <c r="A79" s="4"/>
      <c r="B79" s="5"/>
      <c r="C79" s="5"/>
      <c r="D79" s="5"/>
      <c r="E79" s="5"/>
      <c r="F79" s="5"/>
      <c r="G79" s="5"/>
      <c r="H79" s="5"/>
      <c r="I79" s="5"/>
      <c r="J79" s="5"/>
      <c r="K79" s="3"/>
    </row>
  </sheetData>
  <phoneticPr fontId="0" type="noConversion"/>
  <pageMargins left="0.5" right="0.5" top="0.5" bottom="0" header="0.5" footer="0.25"/>
  <pageSetup scale="94" orientation="portrait" blackAndWhite="1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29">
    <tabColor rgb="FF92D050"/>
    <pageSetUpPr fitToPage="1"/>
  </sheetPr>
  <dimension ref="A1:O73"/>
  <sheetViews>
    <sheetView showGridLines="0" workbookViewId="0">
      <selection activeCell="J29" sqref="J29"/>
    </sheetView>
  </sheetViews>
  <sheetFormatPr defaultColWidth="11.33203125" defaultRowHeight="10" x14ac:dyDescent="0.2"/>
  <cols>
    <col min="1" max="1" width="6.33203125" bestFit="1" customWidth="1"/>
    <col min="2" max="2" width="11.33203125" customWidth="1"/>
    <col min="3" max="5" width="15.33203125" customWidth="1"/>
    <col min="6" max="7" width="14" customWidth="1"/>
    <col min="8" max="8" width="11.33203125" customWidth="1"/>
    <col min="9" max="9" width="7.6640625" customWidth="1"/>
  </cols>
  <sheetData>
    <row r="1" spans="1:15" ht="10.5" x14ac:dyDescent="0.25">
      <c r="A1" s="8" t="str">
        <f>'1'!$A$1</f>
        <v>Texas Windstorm Insurance Association</v>
      </c>
      <c r="B1" s="12"/>
      <c r="I1" s="7" t="s">
        <v>106</v>
      </c>
      <c r="J1" s="2"/>
      <c r="N1" t="s">
        <v>428</v>
      </c>
      <c r="O1" t="s">
        <v>452</v>
      </c>
    </row>
    <row r="2" spans="1:15" ht="10.5" x14ac:dyDescent="0.25">
      <c r="A2" s="8" t="str">
        <f>'1'!$A$2</f>
        <v>Residential Property - Wind &amp; Hail</v>
      </c>
      <c r="B2" s="12"/>
      <c r="I2" s="7" t="s">
        <v>88</v>
      </c>
      <c r="J2" s="2"/>
      <c r="N2" t="s">
        <v>428</v>
      </c>
      <c r="O2" t="s">
        <v>458</v>
      </c>
    </row>
    <row r="3" spans="1:15" ht="10.5" x14ac:dyDescent="0.25">
      <c r="A3" s="8" t="str">
        <f>'1'!$A$3</f>
        <v>Rate Level Review</v>
      </c>
      <c r="B3" s="12"/>
      <c r="J3" s="2"/>
      <c r="N3" t="s">
        <v>428</v>
      </c>
      <c r="O3" t="s">
        <v>462</v>
      </c>
    </row>
    <row r="4" spans="1:15" x14ac:dyDescent="0.2">
      <c r="A4" t="s">
        <v>107</v>
      </c>
      <c r="B4" s="12"/>
      <c r="J4" s="2"/>
      <c r="N4" t="s">
        <v>428</v>
      </c>
      <c r="O4" t="s">
        <v>463</v>
      </c>
    </row>
    <row r="5" spans="1:15" x14ac:dyDescent="0.2">
      <c r="B5" s="12"/>
      <c r="J5" s="2"/>
      <c r="N5" t="s">
        <v>428</v>
      </c>
      <c r="O5" t="s">
        <v>464</v>
      </c>
    </row>
    <row r="6" spans="1:15" x14ac:dyDescent="0.2">
      <c r="J6" s="2"/>
      <c r="N6" t="s">
        <v>428</v>
      </c>
      <c r="O6" t="s">
        <v>465</v>
      </c>
    </row>
    <row r="7" spans="1:15" ht="10.5" thickBot="1" x14ac:dyDescent="0.25">
      <c r="A7" s="6"/>
      <c r="B7" s="6"/>
      <c r="C7" s="6"/>
      <c r="D7" s="6"/>
      <c r="E7" s="6"/>
      <c r="F7" s="6"/>
      <c r="G7" s="6"/>
      <c r="H7" s="6"/>
      <c r="I7" s="272"/>
      <c r="J7" s="2"/>
    </row>
    <row r="8" spans="1:15" ht="10.5" thickTop="1" x14ac:dyDescent="0.2">
      <c r="J8" s="2"/>
    </row>
    <row r="9" spans="1:15" x14ac:dyDescent="0.2">
      <c r="C9" s="24" t="s">
        <v>134</v>
      </c>
      <c r="J9" s="2"/>
      <c r="K9" s="27"/>
    </row>
    <row r="10" spans="1:15" x14ac:dyDescent="0.2">
      <c r="A10" t="s">
        <v>53</v>
      </c>
      <c r="G10" t="s">
        <v>133</v>
      </c>
      <c r="H10" s="59" t="s">
        <v>334</v>
      </c>
      <c r="I10" s="59"/>
      <c r="J10" s="2"/>
      <c r="K10" s="22">
        <v>1.01</v>
      </c>
    </row>
    <row r="11" spans="1:15" x14ac:dyDescent="0.2">
      <c r="A11" s="9" t="s">
        <v>54</v>
      </c>
      <c r="B11" s="9"/>
      <c r="C11" s="9" t="s">
        <v>130</v>
      </c>
      <c r="D11" s="9" t="s">
        <v>131</v>
      </c>
      <c r="E11" s="9" t="s">
        <v>132</v>
      </c>
      <c r="F11" s="9" t="s">
        <v>24</v>
      </c>
      <c r="G11" s="9" t="s">
        <v>78</v>
      </c>
      <c r="H11" s="177" t="s">
        <v>333</v>
      </c>
      <c r="I11" s="285"/>
      <c r="J11" s="2"/>
      <c r="K11" s="52"/>
    </row>
    <row r="12" spans="1:15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H12" s="286" t="s">
        <v>123</v>
      </c>
      <c r="I12" s="59"/>
      <c r="J12" s="2"/>
    </row>
    <row r="13" spans="1:15" x14ac:dyDescent="0.2">
      <c r="H13" s="59"/>
      <c r="I13" s="59"/>
      <c r="J13" s="2"/>
    </row>
    <row r="14" spans="1:15" x14ac:dyDescent="0.2">
      <c r="A14" s="181">
        <v>1983</v>
      </c>
      <c r="C14" s="60">
        <f>'6.4'!G14</f>
        <v>12.224</v>
      </c>
      <c r="D14" s="60">
        <f>'6.5'!G14</f>
        <v>7.1773264013073157E-2</v>
      </c>
      <c r="E14" s="60">
        <f>'6.6'!G14</f>
        <v>1.6550369131984408</v>
      </c>
      <c r="F14" s="60">
        <f>'6.7'!G14</f>
        <v>1.6872670392664995</v>
      </c>
      <c r="G14" s="23">
        <f>ROUND(SUMPRODUCT(C14:F14,$C$60:$F$60)/$G$60,3)</f>
        <v>5.2240000000000002</v>
      </c>
      <c r="H14" s="29">
        <f t="shared" ref="H14:H39" si="0">G14</f>
        <v>5.2240000000000002</v>
      </c>
      <c r="I14" s="59"/>
      <c r="J14" s="2"/>
    </row>
    <row r="15" spans="1:15" x14ac:dyDescent="0.2">
      <c r="A15" t="str">
        <f>TEXT(A14+1,"#")</f>
        <v>1984</v>
      </c>
      <c r="C15" s="60">
        <f>'6.4'!G15</f>
        <v>3.6999999999999998E-2</v>
      </c>
      <c r="D15" s="60">
        <f>'6.5'!G15</f>
        <v>6.7744125594311408E-2</v>
      </c>
      <c r="E15" s="60">
        <f>'6.6'!G15</f>
        <v>0.24151075632806768</v>
      </c>
      <c r="F15" s="60">
        <f>'6.7'!G15</f>
        <v>0.3845298874263412</v>
      </c>
      <c r="G15" s="23">
        <f t="shared" ref="G15:G50" si="1">ROUND(SUMPRODUCT(C15:F15,$C$60:$F$60)/$G$60,3)</f>
        <v>0.13800000000000001</v>
      </c>
      <c r="H15" s="29">
        <f t="shared" si="0"/>
        <v>0.13800000000000001</v>
      </c>
      <c r="I15" s="59"/>
      <c r="J15" s="2"/>
    </row>
    <row r="16" spans="1:15" x14ac:dyDescent="0.2">
      <c r="A16" t="str">
        <f t="shared" ref="A16:A51" si="2">TEXT(A15+1,"#")</f>
        <v>1985</v>
      </c>
      <c r="C16" s="60">
        <f>'6.4'!G16</f>
        <v>1.9E-2</v>
      </c>
      <c r="D16" s="60">
        <f>'6.5'!G16</f>
        <v>8.2872071690216487E-2</v>
      </c>
      <c r="E16" s="60">
        <f>'6.6'!G16</f>
        <v>8.0633915666968578E-2</v>
      </c>
      <c r="F16" s="60">
        <f>'6.7'!G16</f>
        <v>0.12848011779558008</v>
      </c>
      <c r="G16" s="23">
        <f t="shared" si="1"/>
        <v>5.8999999999999997E-2</v>
      </c>
      <c r="H16" s="29">
        <f t="shared" si="0"/>
        <v>5.8999999999999997E-2</v>
      </c>
      <c r="I16" s="59"/>
      <c r="J16" s="2"/>
    </row>
    <row r="17" spans="1:10" x14ac:dyDescent="0.2">
      <c r="A17" t="str">
        <f t="shared" si="2"/>
        <v>1986</v>
      </c>
      <c r="C17" s="60">
        <f>'6.4'!G17</f>
        <v>1.2E-2</v>
      </c>
      <c r="D17" s="60">
        <f>'6.5'!G17</f>
        <v>2.8000000000000001E-2</v>
      </c>
      <c r="E17" s="60">
        <f>'6.6'!G17</f>
        <v>0.21199999999999999</v>
      </c>
      <c r="F17" s="60">
        <f>'6.7'!G17</f>
        <v>0.14099999999999999</v>
      </c>
      <c r="G17" s="23">
        <f t="shared" si="1"/>
        <v>0.105</v>
      </c>
      <c r="H17" s="29">
        <f t="shared" si="0"/>
        <v>0.105</v>
      </c>
      <c r="I17" s="59"/>
      <c r="J17" s="2"/>
    </row>
    <row r="18" spans="1:10" x14ac:dyDescent="0.2">
      <c r="A18" t="str">
        <f t="shared" si="2"/>
        <v>1987</v>
      </c>
      <c r="C18" s="60">
        <f>'6.4'!G18</f>
        <v>6.0000000000000001E-3</v>
      </c>
      <c r="D18" s="60">
        <f>'6.5'!G18</f>
        <v>4.1000000000000002E-2</v>
      </c>
      <c r="E18" s="60">
        <f>'6.6'!G18</f>
        <v>3.6999999999999998E-2</v>
      </c>
      <c r="F18" s="60">
        <f>'6.7'!G18</f>
        <v>7.3999999999999996E-2</v>
      </c>
      <c r="G18" s="23">
        <f t="shared" si="1"/>
        <v>2.7E-2</v>
      </c>
      <c r="H18" s="29">
        <f t="shared" si="0"/>
        <v>2.7E-2</v>
      </c>
      <c r="I18" s="59"/>
      <c r="J18" s="2"/>
    </row>
    <row r="19" spans="1:10" x14ac:dyDescent="0.2">
      <c r="A19" t="str">
        <f t="shared" si="2"/>
        <v>1988</v>
      </c>
      <c r="C19" s="60">
        <f>'6.4'!G19</f>
        <v>5.5E-2</v>
      </c>
      <c r="D19" s="60">
        <f>'6.5'!G19</f>
        <v>6.8000000000000005E-2</v>
      </c>
      <c r="E19" s="60">
        <f>'6.6'!G19</f>
        <v>0.17899999999999999</v>
      </c>
      <c r="F19" s="60">
        <f>'6.7'!G19</f>
        <v>7.1999999999999995E-2</v>
      </c>
      <c r="G19" s="23">
        <f t="shared" si="1"/>
        <v>0.112</v>
      </c>
      <c r="H19" s="29">
        <f t="shared" si="0"/>
        <v>0.112</v>
      </c>
      <c r="I19" s="59"/>
      <c r="J19" s="2"/>
    </row>
    <row r="20" spans="1:10" x14ac:dyDescent="0.2">
      <c r="A20" t="str">
        <f t="shared" si="2"/>
        <v>1989</v>
      </c>
      <c r="C20" s="60">
        <f>'6.4'!G20</f>
        <v>0.06</v>
      </c>
      <c r="D20" s="60">
        <f>'6.5'!G20</f>
        <v>6.2E-2</v>
      </c>
      <c r="E20" s="60">
        <f>'6.6'!G20</f>
        <v>9.0999999999999998E-2</v>
      </c>
      <c r="F20" s="60">
        <f>'6.7'!G20</f>
        <v>0.16800000000000001</v>
      </c>
      <c r="G20" s="23">
        <f t="shared" si="1"/>
        <v>7.5999999999999998E-2</v>
      </c>
      <c r="H20" s="29">
        <f t="shared" si="0"/>
        <v>7.5999999999999998E-2</v>
      </c>
      <c r="I20" s="59"/>
      <c r="J20" s="2"/>
    </row>
    <row r="21" spans="1:10" x14ac:dyDescent="0.2">
      <c r="A21" t="str">
        <f t="shared" si="2"/>
        <v>1990</v>
      </c>
      <c r="C21" s="60">
        <f>'6.4'!G21</f>
        <v>0.32200000000000001</v>
      </c>
      <c r="D21" s="60">
        <f>'6.5'!G21</f>
        <v>0.11600000000000001</v>
      </c>
      <c r="E21" s="60">
        <f>'6.6'!G21</f>
        <v>0.11799999999999999</v>
      </c>
      <c r="F21" s="60">
        <f>'6.7'!G21</f>
        <v>0.23799999999999999</v>
      </c>
      <c r="G21" s="23">
        <f t="shared" si="1"/>
        <v>0.19400000000000001</v>
      </c>
      <c r="H21" s="29">
        <f t="shared" si="0"/>
        <v>0.19400000000000001</v>
      </c>
      <c r="I21" s="59"/>
      <c r="J21" s="2"/>
    </row>
    <row r="22" spans="1:10" x14ac:dyDescent="0.2">
      <c r="A22" t="str">
        <f t="shared" si="2"/>
        <v>1991</v>
      </c>
      <c r="C22" s="60">
        <f>'6.4'!G22</f>
        <v>0.745</v>
      </c>
      <c r="D22" s="60">
        <f>'6.5'!G22</f>
        <v>0.16400000000000001</v>
      </c>
      <c r="E22" s="60">
        <f>'6.6'!G22</f>
        <v>1.319</v>
      </c>
      <c r="F22" s="60">
        <f>'6.7'!G22</f>
        <v>0.19600000000000001</v>
      </c>
      <c r="G22" s="23">
        <f t="shared" si="1"/>
        <v>0.88800000000000001</v>
      </c>
      <c r="H22" s="29">
        <f t="shared" si="0"/>
        <v>0.88800000000000001</v>
      </c>
      <c r="I22" s="59"/>
      <c r="J22" s="2"/>
    </row>
    <row r="23" spans="1:10" x14ac:dyDescent="0.2">
      <c r="A23" t="str">
        <f t="shared" si="2"/>
        <v>1992</v>
      </c>
      <c r="B23" s="22"/>
      <c r="C23" s="60">
        <f>'6.4'!G23</f>
        <v>1.2E-2</v>
      </c>
      <c r="D23" s="60">
        <f>'6.5'!G23</f>
        <v>0.11799999999999999</v>
      </c>
      <c r="E23" s="60">
        <f>'6.6'!G23</f>
        <v>0.08</v>
      </c>
      <c r="F23" s="60">
        <f>'6.7'!G23</f>
        <v>0.18099999999999999</v>
      </c>
      <c r="G23" s="23">
        <f t="shared" si="1"/>
        <v>6.3E-2</v>
      </c>
      <c r="H23" s="29">
        <f t="shared" si="0"/>
        <v>6.3E-2</v>
      </c>
      <c r="I23" s="59"/>
      <c r="J23" s="2"/>
    </row>
    <row r="24" spans="1:10" x14ac:dyDescent="0.2">
      <c r="A24" t="str">
        <f t="shared" si="2"/>
        <v>1993</v>
      </c>
      <c r="B24" s="22"/>
      <c r="C24" s="60">
        <f>'6.4'!G24</f>
        <v>9.2999999999999999E-2</v>
      </c>
      <c r="D24" s="60">
        <f>'6.5'!G24</f>
        <v>8.3000000000000004E-2</v>
      </c>
      <c r="E24" s="60">
        <f>'6.6'!G24</f>
        <v>0.06</v>
      </c>
      <c r="F24" s="60">
        <f>'6.7'!G24</f>
        <v>0.161</v>
      </c>
      <c r="G24" s="23">
        <f t="shared" si="1"/>
        <v>7.8E-2</v>
      </c>
      <c r="H24" s="29">
        <f t="shared" si="0"/>
        <v>7.8E-2</v>
      </c>
      <c r="I24" s="59"/>
      <c r="J24" s="2"/>
    </row>
    <row r="25" spans="1:10" x14ac:dyDescent="0.2">
      <c r="A25" t="str">
        <f t="shared" si="2"/>
        <v>1994</v>
      </c>
      <c r="B25" s="22"/>
      <c r="C25" s="60">
        <f>'6.4'!G25</f>
        <v>1.9E-2</v>
      </c>
      <c r="D25" s="60">
        <f>'6.5'!G25</f>
        <v>4.9000000000000002E-2</v>
      </c>
      <c r="E25" s="60">
        <f>'6.6'!G25</f>
        <v>5.3999999999999999E-2</v>
      </c>
      <c r="F25" s="60">
        <f>'6.7'!G25</f>
        <v>6.4000000000000001E-2</v>
      </c>
      <c r="G25" s="23">
        <f t="shared" si="1"/>
        <v>0.04</v>
      </c>
      <c r="H25" s="29">
        <f t="shared" si="0"/>
        <v>0.04</v>
      </c>
      <c r="I25" s="59"/>
      <c r="J25" s="2"/>
    </row>
    <row r="26" spans="1:10" x14ac:dyDescent="0.2">
      <c r="A26" t="str">
        <f t="shared" si="2"/>
        <v>1995</v>
      </c>
      <c r="C26" s="60">
        <f>'6.4'!G26</f>
        <v>2.7E-2</v>
      </c>
      <c r="D26" s="60">
        <f>'6.5'!G26</f>
        <v>8.2000000000000003E-2</v>
      </c>
      <c r="E26" s="60">
        <f>'6.6'!G26</f>
        <v>8.2000000000000003E-2</v>
      </c>
      <c r="F26" s="60">
        <f>'6.7'!G26</f>
        <v>0.215</v>
      </c>
      <c r="G26" s="23">
        <f t="shared" si="1"/>
        <v>6.4000000000000001E-2</v>
      </c>
      <c r="H26" s="29">
        <f t="shared" si="0"/>
        <v>6.4000000000000001E-2</v>
      </c>
      <c r="I26" s="59"/>
      <c r="J26" s="2"/>
    </row>
    <row r="27" spans="1:10" x14ac:dyDescent="0.2">
      <c r="A27" t="str">
        <f t="shared" si="2"/>
        <v>1996</v>
      </c>
      <c r="C27" s="60">
        <f>'6.4'!G27</f>
        <v>1.4E-2</v>
      </c>
      <c r="D27" s="60">
        <f>'6.5'!G27</f>
        <v>0.05</v>
      </c>
      <c r="E27" s="60">
        <f>'6.6'!G27</f>
        <v>4.5999999999999999E-2</v>
      </c>
      <c r="F27" s="60">
        <f>'6.7'!G27</f>
        <v>9.5000000000000001E-2</v>
      </c>
      <c r="G27" s="23">
        <f t="shared" si="1"/>
        <v>3.5999999999999997E-2</v>
      </c>
      <c r="H27" s="29">
        <f t="shared" si="0"/>
        <v>3.5999999999999997E-2</v>
      </c>
      <c r="I27" s="59"/>
      <c r="J27" s="2"/>
    </row>
    <row r="28" spans="1:10" x14ac:dyDescent="0.2">
      <c r="A28" t="str">
        <f t="shared" si="2"/>
        <v>1997</v>
      </c>
      <c r="C28" s="60">
        <f>'6.4'!G28</f>
        <v>1.7999999999999999E-2</v>
      </c>
      <c r="D28" s="60">
        <f>'6.5'!G28</f>
        <v>4.2000000000000003E-2</v>
      </c>
      <c r="E28" s="60">
        <f>'6.6'!G28</f>
        <v>6.6000000000000003E-2</v>
      </c>
      <c r="F28" s="60">
        <f>'6.7'!G28</f>
        <v>8.1000000000000003E-2</v>
      </c>
      <c r="G28" s="23">
        <f t="shared" si="1"/>
        <v>4.3999999999999997E-2</v>
      </c>
      <c r="H28" s="29">
        <f t="shared" si="0"/>
        <v>4.3999999999999997E-2</v>
      </c>
      <c r="I28" s="59"/>
      <c r="J28" s="2"/>
    </row>
    <row r="29" spans="1:10" x14ac:dyDescent="0.2">
      <c r="A29" t="str">
        <f t="shared" si="2"/>
        <v>1998</v>
      </c>
      <c r="C29" s="60">
        <f>'6.4'!G29</f>
        <v>0.186</v>
      </c>
      <c r="D29" s="60">
        <f>'6.5'!G29</f>
        <v>0.105</v>
      </c>
      <c r="E29" s="60">
        <f>'6.6'!G29</f>
        <v>0.25800000000000001</v>
      </c>
      <c r="F29" s="60">
        <f>'6.7'!G29</f>
        <v>9.9000000000000005E-2</v>
      </c>
      <c r="G29" s="23">
        <f t="shared" si="1"/>
        <v>0.20200000000000001</v>
      </c>
      <c r="H29" s="29">
        <f t="shared" si="0"/>
        <v>0.20200000000000001</v>
      </c>
      <c r="I29" s="59"/>
      <c r="J29" s="2"/>
    </row>
    <row r="30" spans="1:10" x14ac:dyDescent="0.2">
      <c r="A30" t="str">
        <f t="shared" si="2"/>
        <v>1999</v>
      </c>
      <c r="C30" s="60">
        <f>'6.4'!G30</f>
        <v>0.02</v>
      </c>
      <c r="D30" s="60">
        <f>'6.5'!G30</f>
        <v>0.17199999999999999</v>
      </c>
      <c r="E30" s="60">
        <f>'6.6'!G30</f>
        <v>9.8000000000000004E-2</v>
      </c>
      <c r="F30" s="60">
        <f>'6.7'!G30</f>
        <v>9.9000000000000005E-2</v>
      </c>
      <c r="G30" s="23">
        <f t="shared" si="1"/>
        <v>8.3000000000000004E-2</v>
      </c>
      <c r="H30" s="29">
        <f t="shared" si="0"/>
        <v>8.3000000000000004E-2</v>
      </c>
      <c r="I30" s="59"/>
      <c r="J30" s="2"/>
    </row>
    <row r="31" spans="1:10" x14ac:dyDescent="0.2">
      <c r="A31" t="str">
        <f t="shared" si="2"/>
        <v>2000</v>
      </c>
      <c r="C31" s="60">
        <f>'6.4'!G31</f>
        <v>8.0000000000000002E-3</v>
      </c>
      <c r="D31" s="60">
        <f>'6.5'!G31</f>
        <v>2.1999999999999999E-2</v>
      </c>
      <c r="E31" s="60">
        <f>'6.6'!G31</f>
        <v>8.7999999999999995E-2</v>
      </c>
      <c r="F31" s="60">
        <f>'6.7'!G31</f>
        <v>0.1</v>
      </c>
      <c r="G31" s="23">
        <f t="shared" si="1"/>
        <v>4.7E-2</v>
      </c>
      <c r="H31" s="29">
        <f t="shared" si="0"/>
        <v>4.7E-2</v>
      </c>
      <c r="I31" s="59"/>
      <c r="J31" s="2"/>
    </row>
    <row r="32" spans="1:10" x14ac:dyDescent="0.2">
      <c r="A32" t="str">
        <f t="shared" si="2"/>
        <v>2001</v>
      </c>
      <c r="C32" s="60">
        <f>'6.4'!G32</f>
        <v>4.8000000000000001E-2</v>
      </c>
      <c r="D32" s="60">
        <f>'6.5'!G32</f>
        <v>6.8000000000000005E-2</v>
      </c>
      <c r="E32" s="60">
        <f>'6.6'!G32</f>
        <v>7.0000000000000007E-2</v>
      </c>
      <c r="F32" s="60">
        <f>'6.7'!G32</f>
        <v>0.312</v>
      </c>
      <c r="G32" s="23">
        <f t="shared" si="1"/>
        <v>6.5000000000000002E-2</v>
      </c>
      <c r="H32" s="29">
        <f t="shared" si="0"/>
        <v>6.5000000000000002E-2</v>
      </c>
      <c r="I32" s="59"/>
      <c r="J32" s="2"/>
    </row>
    <row r="33" spans="1:14" x14ac:dyDescent="0.2">
      <c r="A33" t="str">
        <f t="shared" si="2"/>
        <v>2002</v>
      </c>
      <c r="C33" s="60">
        <f>'6.4'!G33</f>
        <v>0.23200000000000001</v>
      </c>
      <c r="D33" s="60">
        <f>'6.5'!G33</f>
        <v>5.5E-2</v>
      </c>
      <c r="E33" s="60">
        <f>'6.6'!G33</f>
        <v>0.157</v>
      </c>
      <c r="F33" s="60">
        <f>'6.7'!G33</f>
        <v>0.10100000000000001</v>
      </c>
      <c r="G33" s="23">
        <f t="shared" si="1"/>
        <v>0.16500000000000001</v>
      </c>
      <c r="H33" s="29">
        <f t="shared" si="0"/>
        <v>0.16500000000000001</v>
      </c>
      <c r="I33" s="59"/>
      <c r="J33" s="2"/>
    </row>
    <row r="34" spans="1:14" x14ac:dyDescent="0.2">
      <c r="A34" t="str">
        <f t="shared" si="2"/>
        <v>2003</v>
      </c>
      <c r="C34" s="60">
        <f>'6.4'!G34</f>
        <v>4.9000000000000002E-2</v>
      </c>
      <c r="D34" s="60">
        <f>'6.5'!G34</f>
        <v>7.8E-2</v>
      </c>
      <c r="E34" s="60">
        <f>'6.6'!G34</f>
        <v>0.34799999999999998</v>
      </c>
      <c r="F34" s="60">
        <f>'6.7'!G34</f>
        <v>9.8000000000000004E-2</v>
      </c>
      <c r="G34" s="23">
        <f t="shared" si="1"/>
        <v>0.187</v>
      </c>
      <c r="H34" s="29">
        <f t="shared" si="0"/>
        <v>0.187</v>
      </c>
      <c r="I34" s="59"/>
      <c r="J34" s="2"/>
    </row>
    <row r="35" spans="1:14" x14ac:dyDescent="0.2">
      <c r="A35" t="str">
        <f t="shared" si="2"/>
        <v>2004</v>
      </c>
      <c r="B35" s="25"/>
      <c r="C35" s="60">
        <f>'6.4'!G35</f>
        <v>1.2E-2</v>
      </c>
      <c r="D35" s="60">
        <f>'6.5'!G35</f>
        <v>1.7999999999999999E-2</v>
      </c>
      <c r="E35" s="60">
        <f>'6.6'!G35</f>
        <v>1.7999999999999999E-2</v>
      </c>
      <c r="F35" s="60">
        <f>'6.7'!G35</f>
        <v>3.6999999999999998E-2</v>
      </c>
      <c r="G35" s="23">
        <f t="shared" si="1"/>
        <v>1.6E-2</v>
      </c>
      <c r="H35" s="29">
        <f t="shared" si="0"/>
        <v>1.6E-2</v>
      </c>
      <c r="I35" s="59"/>
      <c r="J35" s="2"/>
    </row>
    <row r="36" spans="1:14" x14ac:dyDescent="0.2">
      <c r="A36" t="str">
        <f t="shared" si="2"/>
        <v>2005</v>
      </c>
      <c r="C36" s="60">
        <f>'6.4'!G36</f>
        <v>0.48699999999999999</v>
      </c>
      <c r="D36" s="60">
        <f>'6.5'!G36</f>
        <v>2.5999999999999999E-2</v>
      </c>
      <c r="E36" s="60">
        <f>'6.6'!G36</f>
        <v>1.9390000000000001</v>
      </c>
      <c r="F36" s="60">
        <f>'6.7'!G36</f>
        <v>0.35399999999999998</v>
      </c>
      <c r="G36" s="23">
        <f t="shared" si="1"/>
        <v>1.046</v>
      </c>
      <c r="H36" s="29">
        <f t="shared" si="0"/>
        <v>1.046</v>
      </c>
      <c r="I36" s="59"/>
      <c r="J36" s="2"/>
    </row>
    <row r="37" spans="1:14" x14ac:dyDescent="0.2">
      <c r="A37" t="str">
        <f t="shared" si="2"/>
        <v>2006</v>
      </c>
      <c r="B37" s="25"/>
      <c r="C37" s="60">
        <f>'6.4'!G37</f>
        <v>0.01</v>
      </c>
      <c r="D37" s="60">
        <f>'6.5'!G37</f>
        <v>1.6E-2</v>
      </c>
      <c r="E37" s="60">
        <f>'6.6'!G37</f>
        <v>2.5999999999999999E-2</v>
      </c>
      <c r="F37" s="60">
        <f>'6.7'!G37</f>
        <v>4.7E-2</v>
      </c>
      <c r="G37" s="23">
        <f t="shared" si="1"/>
        <v>1.9E-2</v>
      </c>
      <c r="H37" s="29">
        <f t="shared" si="0"/>
        <v>1.9E-2</v>
      </c>
      <c r="I37" s="59"/>
      <c r="J37" s="2"/>
    </row>
    <row r="38" spans="1:14" x14ac:dyDescent="0.2">
      <c r="A38" s="50" t="str">
        <f t="shared" si="2"/>
        <v>2007</v>
      </c>
      <c r="B38" s="51"/>
      <c r="C38" s="62">
        <f>'6.4'!G38</f>
        <v>2.5000000000000001E-2</v>
      </c>
      <c r="D38" s="62">
        <f>'6.5'!G38</f>
        <v>1.4999999999999999E-2</v>
      </c>
      <c r="E38" s="62">
        <f>'6.6'!G38</f>
        <v>7.9000000000000001E-2</v>
      </c>
      <c r="F38" s="60">
        <f>'6.7'!G38</f>
        <v>4.7E-2</v>
      </c>
      <c r="G38" s="53">
        <f t="shared" si="1"/>
        <v>4.7E-2</v>
      </c>
      <c r="H38" s="29">
        <f t="shared" si="0"/>
        <v>4.7E-2</v>
      </c>
      <c r="I38" s="59"/>
      <c r="J38" s="2"/>
    </row>
    <row r="39" spans="1:14" x14ac:dyDescent="0.2">
      <c r="A39" s="50" t="str">
        <f t="shared" si="2"/>
        <v>2008</v>
      </c>
      <c r="B39" s="25"/>
      <c r="C39" s="62">
        <f>'6.4'!G39</f>
        <v>6.6150000000000002</v>
      </c>
      <c r="D39" s="62">
        <f>'6.5'!G39</f>
        <v>2.1000000000000001E-2</v>
      </c>
      <c r="E39" s="62">
        <f>'6.6'!G39</f>
        <v>3.64</v>
      </c>
      <c r="F39" s="60">
        <f>'6.7'!G39</f>
        <v>3.9849999999999999</v>
      </c>
      <c r="G39" s="53">
        <f t="shared" si="1"/>
        <v>4.0830000000000002</v>
      </c>
      <c r="H39" s="29">
        <f t="shared" si="0"/>
        <v>4.0830000000000002</v>
      </c>
      <c r="I39" s="59"/>
      <c r="J39" s="2"/>
    </row>
    <row r="40" spans="1:14" x14ac:dyDescent="0.2">
      <c r="A40" s="50" t="str">
        <f t="shared" si="2"/>
        <v>2009</v>
      </c>
      <c r="B40" s="25"/>
      <c r="C40" s="60">
        <f>'6.4'!G40</f>
        <v>2.8000000000000001E-2</v>
      </c>
      <c r="D40" s="60">
        <f>'6.5'!G40</f>
        <v>8.0000000000000002E-3</v>
      </c>
      <c r="E40" s="60">
        <f>'6.6'!G40</f>
        <v>1.2E-2</v>
      </c>
      <c r="F40" s="60">
        <f>'6.7'!G40</f>
        <v>8.8999999999999996E-2</v>
      </c>
      <c r="G40" s="23">
        <f t="shared" si="1"/>
        <v>1.7999999999999999E-2</v>
      </c>
      <c r="H40" s="29">
        <f>G40</f>
        <v>1.7999999999999999E-2</v>
      </c>
      <c r="I40" s="59"/>
      <c r="J40" s="2"/>
    </row>
    <row r="41" spans="1:14" x14ac:dyDescent="0.2">
      <c r="A41" s="50" t="str">
        <f t="shared" si="2"/>
        <v>2010</v>
      </c>
      <c r="B41" s="25"/>
      <c r="C41" s="60">
        <f>'6.4'!G41</f>
        <v>1.0999999999999999E-2</v>
      </c>
      <c r="D41" s="60">
        <f>'6.5'!G41</f>
        <v>5.2999999999999999E-2</v>
      </c>
      <c r="E41" s="60">
        <f>'6.6'!G41</f>
        <v>4.5999999999999999E-2</v>
      </c>
      <c r="F41" s="60">
        <f>'6.7'!G41</f>
        <v>0.104</v>
      </c>
      <c r="G41" s="23">
        <f t="shared" si="1"/>
        <v>3.5000000000000003E-2</v>
      </c>
      <c r="H41" s="29">
        <f>G41</f>
        <v>3.5000000000000003E-2</v>
      </c>
      <c r="I41" s="59"/>
      <c r="J41" s="2"/>
    </row>
    <row r="42" spans="1:14" x14ac:dyDescent="0.2">
      <c r="A42" s="50" t="str">
        <f t="shared" si="2"/>
        <v>2011</v>
      </c>
      <c r="B42" s="51"/>
      <c r="C42" s="62">
        <f>'6.4'!G42</f>
        <v>0.01</v>
      </c>
      <c r="D42" s="62">
        <f>'6.5'!G42</f>
        <v>0.26</v>
      </c>
      <c r="E42" s="62">
        <f>'6.6'!G42</f>
        <v>0.27100000000000002</v>
      </c>
      <c r="F42" s="62">
        <f>'6.7'!G42</f>
        <v>5.7000000000000002E-2</v>
      </c>
      <c r="G42" s="53">
        <f t="shared" si="1"/>
        <v>0.17100000000000001</v>
      </c>
      <c r="H42" s="29">
        <f>G42</f>
        <v>0.17100000000000001</v>
      </c>
      <c r="I42" s="59"/>
      <c r="J42" s="2"/>
    </row>
    <row r="43" spans="1:14" x14ac:dyDescent="0.2">
      <c r="A43" s="50" t="str">
        <f t="shared" si="2"/>
        <v>2012</v>
      </c>
      <c r="B43" s="51"/>
      <c r="C43" s="62">
        <f>'6.4'!G43</f>
        <v>7.9000000000000001E-2</v>
      </c>
      <c r="D43" s="62">
        <f>'6.5'!G43</f>
        <v>0.27500000000000002</v>
      </c>
      <c r="E43" s="62">
        <f>'6.6'!G43</f>
        <v>9.0999999999999998E-2</v>
      </c>
      <c r="F43" s="62">
        <f>'6.7'!G43</f>
        <v>0.81</v>
      </c>
      <c r="G43" s="53">
        <f t="shared" si="1"/>
        <v>0.13</v>
      </c>
      <c r="H43" s="29">
        <f ca="1">G43*N44</f>
        <v>0.13</v>
      </c>
      <c r="I43" s="59"/>
      <c r="J43" s="2"/>
      <c r="N43" t="s">
        <v>425</v>
      </c>
    </row>
    <row r="44" spans="1:14" x14ac:dyDescent="0.2">
      <c r="A44" s="50" t="str">
        <f t="shared" si="2"/>
        <v>2013</v>
      </c>
      <c r="B44" s="51"/>
      <c r="C44" s="62">
        <f>'6.4'!G44</f>
        <v>0.38800000000000001</v>
      </c>
      <c r="D44" s="62">
        <f>'6.5'!G44</f>
        <v>8.6999999999999994E-2</v>
      </c>
      <c r="E44" s="62">
        <f>'6.6'!G44</f>
        <v>2.7E-2</v>
      </c>
      <c r="F44" s="62">
        <f>'6.7'!G44</f>
        <v>0.187</v>
      </c>
      <c r="G44" s="53">
        <f t="shared" si="1"/>
        <v>0.17199999999999999</v>
      </c>
      <c r="H44" s="29">
        <f ca="1">G44*N44</f>
        <v>0.17199999999999999</v>
      </c>
      <c r="I44" s="59"/>
      <c r="J44" s="2"/>
      <c r="M44" t="str">
        <f t="shared" ref="M44:M52" si="3">A44</f>
        <v>2013</v>
      </c>
      <c r="N44" s="353">
        <f ca="1">OFFSET('ldf 3.1b'!$C$46,0,$M$52-M44)</f>
        <v>1</v>
      </c>
    </row>
    <row r="45" spans="1:14" x14ac:dyDescent="0.2">
      <c r="A45" s="50" t="str">
        <f t="shared" si="2"/>
        <v>2014</v>
      </c>
      <c r="B45" s="51"/>
      <c r="C45" s="208">
        <f>'6.4'!G45</f>
        <v>5.0000000000000001E-3</v>
      </c>
      <c r="D45" s="208">
        <f>'6.5'!G45</f>
        <v>2.3E-2</v>
      </c>
      <c r="E45" s="208">
        <f>'6.6'!G45</f>
        <v>2.9000000000000001E-2</v>
      </c>
      <c r="F45" s="208">
        <f>'6.7'!G45</f>
        <v>0.16800000000000001</v>
      </c>
      <c r="G45" s="209">
        <f t="shared" si="1"/>
        <v>2.1000000000000001E-2</v>
      </c>
      <c r="H45" s="29">
        <f t="shared" ref="H45:H52" ca="1" si="4">G45*N45</f>
        <v>2.1000000000000001E-2</v>
      </c>
      <c r="I45" s="59"/>
      <c r="J45" s="2"/>
      <c r="M45" t="str">
        <f t="shared" si="3"/>
        <v>2014</v>
      </c>
      <c r="N45" s="353">
        <f ca="1">OFFSET('ldf 3.1b'!$C$46,0,$M$52-M45)</f>
        <v>1</v>
      </c>
    </row>
    <row r="46" spans="1:14" x14ac:dyDescent="0.2">
      <c r="A46" s="50" t="str">
        <f t="shared" si="2"/>
        <v>2015</v>
      </c>
      <c r="B46" s="51"/>
      <c r="C46" s="208">
        <f>'6.4'!G46</f>
        <v>0.121</v>
      </c>
      <c r="D46" s="208">
        <f>'6.5'!G46</f>
        <v>0.11600000000000001</v>
      </c>
      <c r="E46" s="208">
        <f>'6.6'!G46</f>
        <v>0.35699999999999998</v>
      </c>
      <c r="F46" s="208">
        <f>'6.7'!G46</f>
        <v>0.33500000000000002</v>
      </c>
      <c r="G46" s="209">
        <f t="shared" si="1"/>
        <v>0.22800000000000001</v>
      </c>
      <c r="H46" s="29">
        <f t="shared" ca="1" si="4"/>
        <v>0.22800000000000001</v>
      </c>
      <c r="I46" s="59"/>
      <c r="J46" s="2"/>
      <c r="M46" t="str">
        <f t="shared" si="3"/>
        <v>2015</v>
      </c>
      <c r="N46" s="353">
        <f ca="1">OFFSET('ldf 3.1b'!$C$46,0,$M$52-M46)</f>
        <v>1</v>
      </c>
    </row>
    <row r="47" spans="1:14" x14ac:dyDescent="0.2">
      <c r="A47" s="50" t="str">
        <f t="shared" si="2"/>
        <v>2016</v>
      </c>
      <c r="B47" s="51"/>
      <c r="C47" s="208">
        <f>'6.4'!G47</f>
        <v>7.9000000000000001E-2</v>
      </c>
      <c r="D47" s="208">
        <f>'6.5'!G47</f>
        <v>0.121</v>
      </c>
      <c r="E47" s="208">
        <f>'6.6'!G47</f>
        <v>6.0999999999999999E-2</v>
      </c>
      <c r="F47" s="208">
        <f>'6.7'!G47</f>
        <v>0.34399999999999997</v>
      </c>
      <c r="G47" s="209">
        <f t="shared" si="1"/>
        <v>8.2000000000000003E-2</v>
      </c>
      <c r="H47" s="29">
        <f t="shared" ca="1" si="4"/>
        <v>8.2000000000000003E-2</v>
      </c>
      <c r="I47" s="59"/>
      <c r="J47" s="2"/>
      <c r="M47" s="25" t="str">
        <f t="shared" si="3"/>
        <v>2016</v>
      </c>
      <c r="N47" s="353">
        <f ca="1">OFFSET('ldf 3.1b'!$C$46,0,$M$52-M47)</f>
        <v>1</v>
      </c>
    </row>
    <row r="48" spans="1:14" x14ac:dyDescent="0.2">
      <c r="A48" s="50" t="str">
        <f t="shared" si="2"/>
        <v>2017</v>
      </c>
      <c r="B48" s="51"/>
      <c r="C48" s="208">
        <f>'6.4'!G48</f>
        <v>0.29699999999999999</v>
      </c>
      <c r="D48" s="208">
        <f>'6.5'!G48</f>
        <v>3.2749999999999999</v>
      </c>
      <c r="E48" s="208">
        <f>'6.6'!G48</f>
        <v>3.036</v>
      </c>
      <c r="F48" s="208">
        <f>'6.7'!G48</f>
        <v>0.58099999999999996</v>
      </c>
      <c r="G48" s="209">
        <f t="shared" si="1"/>
        <v>2.0449999999999999</v>
      </c>
      <c r="H48" s="29">
        <f t="shared" ca="1" si="4"/>
        <v>2.0470449999999998</v>
      </c>
      <c r="I48" s="59"/>
      <c r="J48" s="2"/>
      <c r="M48" s="25" t="str">
        <f t="shared" si="3"/>
        <v>2017</v>
      </c>
      <c r="N48" s="353">
        <f ca="1">OFFSET('ldf 3.1b'!$C$46,0,$M$52-M48)</f>
        <v>1.0009999999999999</v>
      </c>
    </row>
    <row r="49" spans="1:14" x14ac:dyDescent="0.2">
      <c r="A49" s="50" t="str">
        <f t="shared" si="2"/>
        <v>2018</v>
      </c>
      <c r="B49" s="50"/>
      <c r="C49" s="208">
        <f>'6.4'!G49</f>
        <v>2.4E-2</v>
      </c>
      <c r="D49" s="208">
        <f>'6.5'!G49</f>
        <v>2.1000000000000001E-2</v>
      </c>
      <c r="E49" s="208">
        <f>'6.6'!G49</f>
        <v>4.3999999999999997E-2</v>
      </c>
      <c r="F49" s="208">
        <f>'6.7'!G49</f>
        <v>0.1</v>
      </c>
      <c r="G49" s="209">
        <f t="shared" si="1"/>
        <v>3.3000000000000002E-2</v>
      </c>
      <c r="H49" s="29">
        <f t="shared" ca="1" si="4"/>
        <v>3.3165E-2</v>
      </c>
      <c r="I49" s="59"/>
      <c r="J49" s="2"/>
      <c r="M49" s="25" t="str">
        <f t="shared" si="3"/>
        <v>2018</v>
      </c>
      <c r="N49" s="353">
        <f ca="1">OFFSET('ldf 3.1b'!$C$46,0,$M$52-M49)</f>
        <v>1.0049999999999999</v>
      </c>
    </row>
    <row r="50" spans="1:14" x14ac:dyDescent="0.2">
      <c r="A50" s="50" t="str">
        <f t="shared" si="2"/>
        <v>2019</v>
      </c>
      <c r="B50" s="50"/>
      <c r="C50" s="208">
        <f>'6.4'!G50</f>
        <v>5.0999999999999997E-2</v>
      </c>
      <c r="D50" s="208">
        <f>'6.5'!G50</f>
        <v>1.7000000000000001E-2</v>
      </c>
      <c r="E50" s="208">
        <f>'6.6'!G50</f>
        <v>8.2000000000000003E-2</v>
      </c>
      <c r="F50" s="208">
        <f>'6.7'!G50</f>
        <v>0.308</v>
      </c>
      <c r="G50" s="209">
        <f t="shared" si="1"/>
        <v>6.2E-2</v>
      </c>
      <c r="H50" s="29">
        <f t="shared" ca="1" si="4"/>
        <v>6.2868000000000007E-2</v>
      </c>
      <c r="I50" s="59"/>
      <c r="J50" s="2"/>
      <c r="M50" s="25" t="str">
        <f t="shared" si="3"/>
        <v>2019</v>
      </c>
      <c r="N50" s="353">
        <f ca="1">OFFSET('ldf 3.1b'!$C$46,0,$M$52-M50)</f>
        <v>1.014</v>
      </c>
    </row>
    <row r="51" spans="1:14" x14ac:dyDescent="0.2">
      <c r="A51" s="50" t="str">
        <f t="shared" si="2"/>
        <v>2020</v>
      </c>
      <c r="C51" s="208">
        <f>'6.4'!G51</f>
        <v>5.5E-2</v>
      </c>
      <c r="D51" s="208">
        <f>'6.5'!G51</f>
        <v>3.9E-2</v>
      </c>
      <c r="E51" s="208">
        <f>'6.6'!G51</f>
        <v>0.20899999999999999</v>
      </c>
      <c r="F51" s="208">
        <f>'6.7'!G51</f>
        <v>0.41699999999999998</v>
      </c>
      <c r="G51" s="209">
        <f t="shared" ref="G51" si="5">ROUND(SUMPRODUCT(C51:F51,$C$60:$F$60)/$G$60,3)</f>
        <v>0.126</v>
      </c>
      <c r="H51" s="29">
        <f t="shared" ca="1" si="4"/>
        <v>0.133686</v>
      </c>
      <c r="I51" s="59"/>
      <c r="J51" s="2"/>
      <c r="K51" t="s">
        <v>217</v>
      </c>
      <c r="M51" s="25" t="str">
        <f t="shared" si="3"/>
        <v>2020</v>
      </c>
      <c r="N51" s="353">
        <f ca="1">OFFSET('ldf 3.1b'!$C$46,0,$M$52-M51)</f>
        <v>1.0609999999999999</v>
      </c>
    </row>
    <row r="52" spans="1:14" x14ac:dyDescent="0.2">
      <c r="A52" s="154">
        <v>2021</v>
      </c>
      <c r="C52" s="208">
        <f>'6.4'!G52</f>
        <v>0.20100000000000001</v>
      </c>
      <c r="D52" s="208">
        <f>'6.5'!G52</f>
        <v>1.9E-2</v>
      </c>
      <c r="E52" s="208">
        <f>'6.6'!G52</f>
        <v>0.28999999999999998</v>
      </c>
      <c r="F52" s="208">
        <f>'6.7'!G52</f>
        <v>0.378</v>
      </c>
      <c r="G52" s="209">
        <f t="shared" ref="G52" si="6">ROUND(SUMPRODUCT(C52:F52,$C$60:$F$60)/$G$60,3)</f>
        <v>0.21</v>
      </c>
      <c r="H52" s="29">
        <f t="shared" ca="1" si="4"/>
        <v>0.25641000000000003</v>
      </c>
      <c r="I52" s="59"/>
      <c r="J52" s="2"/>
      <c r="K52" s="84">
        <f>'6.4'!K$55</f>
        <v>44469</v>
      </c>
      <c r="M52" s="25">
        <f t="shared" si="3"/>
        <v>2021</v>
      </c>
      <c r="N52" s="353">
        <f ca="1">OFFSET('ldf 3.1b'!$C$46,0,$M$52-M52)</f>
        <v>1.2210000000000001</v>
      </c>
    </row>
    <row r="53" spans="1:14" x14ac:dyDescent="0.2">
      <c r="A53" s="313" t="s">
        <v>71</v>
      </c>
      <c r="B53" s="313"/>
      <c r="C53" s="312">
        <f>ROUND(AVERAGE(C14:C52),3)</f>
        <v>0.58199999999999996</v>
      </c>
      <c r="D53" s="312">
        <f t="shared" ref="D53:H53" si="7">ROUND(AVERAGE(D14:D52),3)</f>
        <v>0.155</v>
      </c>
      <c r="E53" s="312">
        <f t="shared" si="7"/>
        <v>0.4</v>
      </c>
      <c r="F53" s="312">
        <f t="shared" si="7"/>
        <v>0.33400000000000002</v>
      </c>
      <c r="G53" s="312">
        <f t="shared" si="7"/>
        <v>0.42199999999999999</v>
      </c>
      <c r="H53" s="312">
        <f t="shared" ca="1" si="7"/>
        <v>0.42299999999999999</v>
      </c>
      <c r="I53" s="59"/>
      <c r="J53" s="2"/>
    </row>
    <row r="54" spans="1:14" x14ac:dyDescent="0.2">
      <c r="A54" s="50"/>
      <c r="B54" s="50"/>
      <c r="C54" s="50"/>
      <c r="D54" s="50"/>
      <c r="E54" s="50"/>
      <c r="F54" s="50"/>
      <c r="G54" s="50"/>
      <c r="J54" s="2"/>
    </row>
    <row r="55" spans="1:14" x14ac:dyDescent="0.2">
      <c r="C55" s="24" t="str">
        <f>"TWIA "&amp;YEAR('2.1'!$L$9)&amp;" Written Premium by Territory / Tier"</f>
        <v>TWIA 2021 Written Premium by Territory / Tier</v>
      </c>
      <c r="J55" s="2"/>
    </row>
    <row r="56" spans="1:14" x14ac:dyDescent="0.2">
      <c r="J56" s="2"/>
    </row>
    <row r="57" spans="1:14" x14ac:dyDescent="0.2">
      <c r="A57" s="9"/>
      <c r="B57" s="9"/>
      <c r="C57" s="9" t="s">
        <v>130</v>
      </c>
      <c r="D57" s="9" t="s">
        <v>131</v>
      </c>
      <c r="E57" s="9" t="s">
        <v>132</v>
      </c>
      <c r="F57" s="9" t="s">
        <v>24</v>
      </c>
      <c r="G57" s="9" t="s">
        <v>9</v>
      </c>
      <c r="H57" s="9"/>
      <c r="I57" s="270"/>
      <c r="J57" s="2"/>
    </row>
    <row r="58" spans="1:14" x14ac:dyDescent="0.2">
      <c r="J58" s="2"/>
    </row>
    <row r="59" spans="1:14" x14ac:dyDescent="0.2">
      <c r="A59" s="56" t="s">
        <v>122</v>
      </c>
      <c r="B59" s="59" t="s">
        <v>27</v>
      </c>
      <c r="C59" s="31">
        <f>'2.1'!$C$14</f>
        <v>121498534</v>
      </c>
      <c r="D59" s="31">
        <f>'2.1'!$C$15</f>
        <v>59500283</v>
      </c>
      <c r="E59" s="31">
        <f>'2.1'!$C$16</f>
        <v>147624220</v>
      </c>
      <c r="F59" s="31">
        <f>'2.1'!$C$17</f>
        <v>4775030</v>
      </c>
      <c r="G59" s="33">
        <f>SUM(C59:F59)</f>
        <v>333398067</v>
      </c>
      <c r="J59" s="2"/>
    </row>
    <row r="60" spans="1:14" x14ac:dyDescent="0.2">
      <c r="A60" s="56" t="s">
        <v>121</v>
      </c>
      <c r="B60" t="s">
        <v>135</v>
      </c>
      <c r="C60" s="20">
        <f>ROUND(C59/$G59,4)</f>
        <v>0.3644</v>
      </c>
      <c r="D60" s="20">
        <f>ROUND(D59/$G59,4)</f>
        <v>0.17849999999999999</v>
      </c>
      <c r="E60" s="20">
        <f>ROUND(E59/$G59,4)</f>
        <v>0.44280000000000003</v>
      </c>
      <c r="F60" s="20">
        <f>ROUND(F59/$G59,4)</f>
        <v>1.43E-2</v>
      </c>
      <c r="G60" s="20">
        <f>SUM(C60:F60)</f>
        <v>1</v>
      </c>
      <c r="J60" s="2"/>
    </row>
    <row r="61" spans="1:14" ht="10.5" thickBot="1" x14ac:dyDescent="0.25">
      <c r="A61" s="6"/>
      <c r="B61" s="6"/>
      <c r="C61" s="6"/>
      <c r="D61" s="6"/>
      <c r="E61" s="6"/>
      <c r="F61" s="6"/>
      <c r="G61" s="6"/>
      <c r="H61" s="6"/>
      <c r="I61" s="272"/>
      <c r="J61" s="2"/>
    </row>
    <row r="62" spans="1:14" ht="10.5" thickTop="1" x14ac:dyDescent="0.2">
      <c r="J62" s="2"/>
    </row>
    <row r="63" spans="1:14" x14ac:dyDescent="0.2">
      <c r="A63" t="s">
        <v>17</v>
      </c>
      <c r="F63" s="45"/>
      <c r="J63" s="2"/>
    </row>
    <row r="64" spans="1:14" x14ac:dyDescent="0.2">
      <c r="B64" s="22" t="str">
        <f>C12&amp;" "&amp;'6.4'!$I$1&amp;", "&amp;'6.4'!$I$2</f>
        <v>(2) Exhibit 6, Sheet 4</v>
      </c>
      <c r="J64" s="2"/>
    </row>
    <row r="65" spans="1:10" x14ac:dyDescent="0.2">
      <c r="B65" s="22" t="str">
        <f>D12&amp;" "&amp;'6.5'!$I$1&amp;", "&amp;'6.5'!$I$2</f>
        <v>(3) Exhibit 6, Sheet 5</v>
      </c>
      <c r="J65" s="2"/>
    </row>
    <row r="66" spans="1:10" x14ac:dyDescent="0.2">
      <c r="B66" s="22" t="str">
        <f>E12&amp;" "&amp;'6.6'!$I$1&amp;", "&amp;'6.6'!$I$2</f>
        <v>(4) Exhibit 6, Sheet 6</v>
      </c>
      <c r="J66" s="2"/>
    </row>
    <row r="67" spans="1:10" x14ac:dyDescent="0.2">
      <c r="B67" s="22" t="str">
        <f>F12&amp;" "&amp;'6.7'!$I$1&amp;", "&amp;'6.7'!$I$2</f>
        <v>(5) Exhibit 6, Sheet 7</v>
      </c>
      <c r="J67" s="2"/>
    </row>
    <row r="68" spans="1:10" x14ac:dyDescent="0.2">
      <c r="B68" s="22" t="str">
        <f>G12&amp;" = Weighted average of "&amp;C12&amp;" to "&amp;F12&amp;", using "&amp;A60</f>
        <v>(6) = Weighted average of (2) to (5), using (9)</v>
      </c>
      <c r="J68" s="2"/>
    </row>
    <row r="69" spans="1:10" x14ac:dyDescent="0.2">
      <c r="B69" t="s">
        <v>389</v>
      </c>
      <c r="D69" s="60"/>
      <c r="E69" s="60"/>
      <c r="F69" s="60"/>
      <c r="G69" s="23"/>
      <c r="J69" s="2"/>
    </row>
    <row r="70" spans="1:10" x14ac:dyDescent="0.2">
      <c r="B70" s="25" t="str">
        <f>A59&amp;" Provided by TWIA"</f>
        <v>(8) Provided by TWIA</v>
      </c>
      <c r="J70" s="2"/>
    </row>
    <row r="71" spans="1:10" x14ac:dyDescent="0.2">
      <c r="B71" s="25" t="str">
        <f>A60&amp;" = "&amp;A59&amp;" / "&amp;A59&amp;" Total"</f>
        <v>(9) = (8) / (8) Total</v>
      </c>
      <c r="J71" s="2"/>
    </row>
    <row r="72" spans="1:10" ht="10.5" thickBot="1" x14ac:dyDescent="0.25">
      <c r="B72" s="25"/>
      <c r="J72" s="2"/>
    </row>
    <row r="73" spans="1:10" ht="10.5" thickBot="1" x14ac:dyDescent="0.25">
      <c r="A73" s="4"/>
      <c r="B73" s="5"/>
      <c r="C73" s="5"/>
      <c r="D73" s="5"/>
      <c r="E73" s="5"/>
      <c r="F73" s="5"/>
      <c r="G73" s="5"/>
      <c r="H73" s="5"/>
      <c r="I73" s="5"/>
      <c r="J73" s="3"/>
    </row>
  </sheetData>
  <phoneticPr fontId="0" type="noConversion"/>
  <pageMargins left="0.5" right="0.5" top="0.5" bottom="0.5" header="0.5" footer="0.5"/>
  <pageSetup scale="98" orientation="portrait" blackAndWhite="1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0">
    <tabColor rgb="FF92D050"/>
  </sheetPr>
  <dimension ref="A1:BJ65"/>
  <sheetViews>
    <sheetView showGridLines="0" topLeftCell="A37" workbookViewId="0">
      <selection activeCell="F39" sqref="F39"/>
    </sheetView>
  </sheetViews>
  <sheetFormatPr defaultColWidth="11.33203125" defaultRowHeight="10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1" max="11" width="12.6640625" bestFit="1" customWidth="1"/>
    <col min="13" max="13" width="0" hidden="1" customWidth="1"/>
    <col min="14" max="14" width="12.6640625" hidden="1" customWidth="1"/>
    <col min="15" max="16" width="0" hidden="1" customWidth="1"/>
    <col min="21" max="21" width="3.77734375" bestFit="1" customWidth="1"/>
    <col min="22" max="22" width="6.6640625" bestFit="1" customWidth="1"/>
    <col min="23" max="45" width="5.109375" bestFit="1" customWidth="1"/>
    <col min="46" max="46" width="5.109375" style="282" bestFit="1" customWidth="1"/>
    <col min="47" max="62" width="5.109375" bestFit="1" customWidth="1"/>
  </cols>
  <sheetData>
    <row r="1" spans="1:62" ht="10.5" x14ac:dyDescent="0.25">
      <c r="A1" s="8" t="str">
        <f>'1'!$A$1</f>
        <v>Texas Windstorm Insurance Association</v>
      </c>
      <c r="B1" s="12"/>
      <c r="I1" s="7" t="s">
        <v>106</v>
      </c>
      <c r="J1" s="1"/>
      <c r="R1" t="s">
        <v>428</v>
      </c>
      <c r="S1" t="s">
        <v>452</v>
      </c>
    </row>
    <row r="2" spans="1:62" ht="10.5" x14ac:dyDescent="0.25">
      <c r="A2" s="8" t="str">
        <f>'1'!$A$2</f>
        <v>Residential Property - Wind &amp; Hail</v>
      </c>
      <c r="B2" s="12"/>
      <c r="I2" s="7" t="s">
        <v>91</v>
      </c>
      <c r="J2" s="2"/>
      <c r="R2" t="s">
        <v>428</v>
      </c>
      <c r="S2" t="s">
        <v>458</v>
      </c>
    </row>
    <row r="3" spans="1:62" ht="10.5" x14ac:dyDescent="0.25">
      <c r="A3" s="8" t="str">
        <f>'1'!$A$3</f>
        <v>Rate Level Review</v>
      </c>
      <c r="B3" s="12"/>
      <c r="J3" s="2"/>
      <c r="R3" t="s">
        <v>428</v>
      </c>
      <c r="S3" t="s">
        <v>459</v>
      </c>
    </row>
    <row r="4" spans="1:62" x14ac:dyDescent="0.2">
      <c r="A4" t="s">
        <v>107</v>
      </c>
      <c r="B4" s="12"/>
      <c r="J4" s="2"/>
      <c r="R4" t="s">
        <v>428</v>
      </c>
      <c r="S4" t="s">
        <v>460</v>
      </c>
    </row>
    <row r="5" spans="1:62" x14ac:dyDescent="0.2">
      <c r="A5" t="s">
        <v>31</v>
      </c>
      <c r="B5" s="12"/>
      <c r="E5" s="229"/>
      <c r="F5" s="229"/>
      <c r="G5" s="229"/>
      <c r="H5" s="229"/>
      <c r="J5" s="2"/>
      <c r="R5" s="368" t="s">
        <v>375</v>
      </c>
      <c r="S5" t="s">
        <v>461</v>
      </c>
    </row>
    <row r="6" spans="1:62" x14ac:dyDescent="0.2">
      <c r="J6" s="2"/>
    </row>
    <row r="7" spans="1:62" ht="10.5" thickBot="1" x14ac:dyDescent="0.25">
      <c r="A7" s="6"/>
      <c r="B7" s="6"/>
      <c r="C7" s="6"/>
      <c r="D7" s="6"/>
      <c r="E7" s="6"/>
      <c r="F7" s="6"/>
      <c r="G7" s="6"/>
      <c r="J7" s="2"/>
    </row>
    <row r="8" spans="1:62" ht="10.5" thickTop="1" x14ac:dyDescent="0.2">
      <c r="J8" s="2"/>
    </row>
    <row r="9" spans="1:62" x14ac:dyDescent="0.2">
      <c r="C9" s="22"/>
      <c r="D9" t="s">
        <v>37</v>
      </c>
      <c r="E9" t="s">
        <v>44</v>
      </c>
      <c r="J9" s="2"/>
      <c r="K9" s="27"/>
    </row>
    <row r="10" spans="1:62" x14ac:dyDescent="0.2">
      <c r="A10" t="s">
        <v>53</v>
      </c>
      <c r="C10" t="s">
        <v>126</v>
      </c>
      <c r="D10" t="s">
        <v>136</v>
      </c>
      <c r="E10" t="s">
        <v>42</v>
      </c>
      <c r="F10" t="s">
        <v>87</v>
      </c>
      <c r="G10" t="s">
        <v>87</v>
      </c>
      <c r="J10" s="2"/>
      <c r="K10" s="22"/>
    </row>
    <row r="11" spans="1:62" x14ac:dyDescent="0.2">
      <c r="A11" s="9" t="s">
        <v>54</v>
      </c>
      <c r="B11" s="9"/>
      <c r="C11" s="9" t="s">
        <v>127</v>
      </c>
      <c r="D11" s="9" t="s">
        <v>137</v>
      </c>
      <c r="E11" s="9" t="s">
        <v>43</v>
      </c>
      <c r="F11" s="9" t="s">
        <v>41</v>
      </c>
      <c r="G11" s="9" t="s">
        <v>78</v>
      </c>
      <c r="H11" s="154"/>
      <c r="J11" s="2"/>
      <c r="K11" s="52"/>
    </row>
    <row r="12" spans="1:6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J12" s="2"/>
    </row>
    <row r="13" spans="1:62" x14ac:dyDescent="0.2">
      <c r="J13" s="2"/>
      <c r="K13" t="s">
        <v>140</v>
      </c>
      <c r="N13" t="s">
        <v>14</v>
      </c>
      <c r="O13" t="s">
        <v>74</v>
      </c>
      <c r="P13" t="s">
        <v>266</v>
      </c>
      <c r="S13" t="s">
        <v>352</v>
      </c>
      <c r="T13" t="s">
        <v>74</v>
      </c>
      <c r="V13" t="s">
        <v>386</v>
      </c>
      <c r="W13">
        <v>1983</v>
      </c>
      <c r="X13">
        <f>W13+1</f>
        <v>1984</v>
      </c>
      <c r="Y13">
        <f t="shared" ref="Y13:BG13" si="0">X13+1</f>
        <v>1985</v>
      </c>
      <c r="Z13">
        <f t="shared" si="0"/>
        <v>1986</v>
      </c>
      <c r="AA13">
        <f t="shared" si="0"/>
        <v>1987</v>
      </c>
      <c r="AB13">
        <f t="shared" si="0"/>
        <v>1988</v>
      </c>
      <c r="AC13">
        <f t="shared" si="0"/>
        <v>1989</v>
      </c>
      <c r="AD13">
        <f t="shared" si="0"/>
        <v>1990</v>
      </c>
      <c r="AE13">
        <f t="shared" si="0"/>
        <v>1991</v>
      </c>
      <c r="AF13">
        <f t="shared" si="0"/>
        <v>1992</v>
      </c>
      <c r="AG13">
        <f t="shared" si="0"/>
        <v>1993</v>
      </c>
      <c r="AH13">
        <f t="shared" si="0"/>
        <v>1994</v>
      </c>
      <c r="AI13">
        <f t="shared" si="0"/>
        <v>1995</v>
      </c>
      <c r="AJ13">
        <f t="shared" si="0"/>
        <v>1996</v>
      </c>
      <c r="AK13">
        <f t="shared" si="0"/>
        <v>1997</v>
      </c>
      <c r="AL13">
        <f t="shared" si="0"/>
        <v>1998</v>
      </c>
      <c r="AM13">
        <f t="shared" si="0"/>
        <v>1999</v>
      </c>
      <c r="AN13">
        <f t="shared" si="0"/>
        <v>2000</v>
      </c>
      <c r="AO13">
        <f t="shared" si="0"/>
        <v>2001</v>
      </c>
      <c r="AP13">
        <f t="shared" si="0"/>
        <v>2002</v>
      </c>
      <c r="AQ13">
        <f t="shared" si="0"/>
        <v>2003</v>
      </c>
      <c r="AR13">
        <f t="shared" si="0"/>
        <v>2004</v>
      </c>
      <c r="AS13">
        <f t="shared" si="0"/>
        <v>2005</v>
      </c>
      <c r="AT13" s="282">
        <f t="shared" si="0"/>
        <v>2006</v>
      </c>
      <c r="AU13">
        <f t="shared" si="0"/>
        <v>2007</v>
      </c>
      <c r="AV13">
        <f t="shared" si="0"/>
        <v>2008</v>
      </c>
      <c r="AW13">
        <f t="shared" si="0"/>
        <v>2009</v>
      </c>
      <c r="AX13">
        <f t="shared" si="0"/>
        <v>2010</v>
      </c>
      <c r="AY13">
        <f t="shared" si="0"/>
        <v>2011</v>
      </c>
      <c r="AZ13">
        <f t="shared" si="0"/>
        <v>2012</v>
      </c>
      <c r="BA13">
        <f t="shared" si="0"/>
        <v>2013</v>
      </c>
      <c r="BB13">
        <f t="shared" si="0"/>
        <v>2014</v>
      </c>
      <c r="BC13">
        <f t="shared" si="0"/>
        <v>2015</v>
      </c>
      <c r="BD13">
        <f t="shared" si="0"/>
        <v>2016</v>
      </c>
      <c r="BE13">
        <f t="shared" si="0"/>
        <v>2017</v>
      </c>
      <c r="BF13">
        <f t="shared" si="0"/>
        <v>2018</v>
      </c>
      <c r="BG13">
        <f t="shared" si="0"/>
        <v>2019</v>
      </c>
      <c r="BH13">
        <v>2020</v>
      </c>
      <c r="BI13">
        <v>2021</v>
      </c>
      <c r="BJ13">
        <v>2022</v>
      </c>
    </row>
    <row r="14" spans="1:62" x14ac:dyDescent="0.2">
      <c r="A14" s="181">
        <v>1983</v>
      </c>
      <c r="C14" s="38">
        <v>4317605</v>
      </c>
      <c r="D14" s="35">
        <f>'6.4'!$K$14</f>
        <v>2.252543431048422</v>
      </c>
      <c r="E14" s="120">
        <f>ROUND(C14*D14,0)</f>
        <v>9725593</v>
      </c>
      <c r="F14" s="38">
        <v>118889570</v>
      </c>
      <c r="G14" s="23">
        <f>ROUND(F14/E14,3)</f>
        <v>12.224</v>
      </c>
      <c r="J14" s="2"/>
      <c r="K14" s="122">
        <f>V14</f>
        <v>2.252543431048422</v>
      </c>
      <c r="L14" s="44"/>
      <c r="M14" t="s">
        <v>265</v>
      </c>
      <c r="N14" s="94">
        <f>1.3/PRODUCT(N15:N17)</f>
        <v>1.1139540074268341</v>
      </c>
      <c r="O14" s="43">
        <f>PRODUCT(N$14:N14)</f>
        <v>1.1139540074268341</v>
      </c>
      <c r="P14" s="43">
        <f>O$29/O14</f>
        <v>2.3493360399540935</v>
      </c>
      <c r="R14" t="s">
        <v>265</v>
      </c>
      <c r="S14">
        <v>1</v>
      </c>
      <c r="T14" s="43">
        <v>1</v>
      </c>
      <c r="U14" t="s">
        <v>353</v>
      </c>
      <c r="V14" s="350">
        <f>AA52</f>
        <v>2.252543431048422</v>
      </c>
      <c r="W14">
        <v>1</v>
      </c>
      <c r="X14">
        <v>1</v>
      </c>
      <c r="Y14">
        <v>1</v>
      </c>
      <c r="Z14">
        <v>1</v>
      </c>
      <c r="AA14">
        <v>1</v>
      </c>
      <c r="AB14">
        <v>0.5</v>
      </c>
    </row>
    <row r="15" spans="1:62" x14ac:dyDescent="0.2">
      <c r="A15" t="str">
        <f>TEXT(A14+1,"#")</f>
        <v>1984</v>
      </c>
      <c r="C15" s="38">
        <v>3512853</v>
      </c>
      <c r="D15" s="35">
        <f t="shared" ref="D15:D18" si="1">D$14</f>
        <v>2.252543431048422</v>
      </c>
      <c r="E15" s="120">
        <f t="shared" ref="E15:E32" si="2">ROUND(C15*D15,0)</f>
        <v>7912854</v>
      </c>
      <c r="F15" s="38">
        <v>292543</v>
      </c>
      <c r="G15" s="23">
        <f t="shared" ref="G15:G42" si="3">ROUND(F15/E15,3)</f>
        <v>3.6999999999999998E-2</v>
      </c>
      <c r="J15" s="2"/>
      <c r="M15" s="68">
        <v>36161</v>
      </c>
      <c r="N15" s="121">
        <v>0.90600000000000003</v>
      </c>
      <c r="O15" s="43">
        <f>PRODUCT(N$14:N15)</f>
        <v>1.0092423307287117</v>
      </c>
      <c r="P15" s="43">
        <f>O$29/O15</f>
        <v>2.5930861368146725</v>
      </c>
      <c r="R15">
        <v>1988</v>
      </c>
      <c r="S15">
        <v>0.94599999999999995</v>
      </c>
      <c r="T15" s="43">
        <f>PRODUCT($S$14:S15)</f>
        <v>0.94599999999999995</v>
      </c>
      <c r="U15" t="s">
        <v>354</v>
      </c>
      <c r="V15" s="350">
        <f>AB52</f>
        <v>2.3150497749726844</v>
      </c>
      <c r="AB15">
        <v>0.5</v>
      </c>
      <c r="AC15">
        <v>0.5</v>
      </c>
    </row>
    <row r="16" spans="1:62" x14ac:dyDescent="0.2">
      <c r="A16" t="str">
        <f t="shared" ref="A16:A51" si="4">TEXT(A15+1,"#")</f>
        <v>1985</v>
      </c>
      <c r="C16" s="38">
        <v>6066870</v>
      </c>
      <c r="D16" s="35">
        <f t="shared" si="1"/>
        <v>2.252543431048422</v>
      </c>
      <c r="E16" s="120">
        <f t="shared" si="2"/>
        <v>13665888</v>
      </c>
      <c r="F16" s="38">
        <v>265705</v>
      </c>
      <c r="G16" s="23">
        <f t="shared" si="3"/>
        <v>1.9E-2</v>
      </c>
      <c r="J16" s="2"/>
      <c r="M16" s="68">
        <v>36526</v>
      </c>
      <c r="N16" s="121">
        <v>1.087</v>
      </c>
      <c r="O16" s="43">
        <f>PRODUCT(N$14:N16)</f>
        <v>1.0970464135021096</v>
      </c>
      <c r="P16" s="43">
        <f t="shared" ref="P16:P28" si="5">O$29/O16</f>
        <v>2.3855438241165343</v>
      </c>
      <c r="R16">
        <v>1989</v>
      </c>
      <c r="S16">
        <v>1</v>
      </c>
      <c r="T16" s="43">
        <f>PRODUCT($S$14:S16)</f>
        <v>0.94599999999999995</v>
      </c>
      <c r="U16" t="s">
        <v>355</v>
      </c>
      <c r="V16" s="350">
        <f>AC52</f>
        <v>2.3811241343006575</v>
      </c>
      <c r="AC16">
        <v>0.5</v>
      </c>
      <c r="AD16">
        <v>0.5</v>
      </c>
    </row>
    <row r="17" spans="1:46" x14ac:dyDescent="0.2">
      <c r="A17" t="str">
        <f t="shared" si="4"/>
        <v>1986</v>
      </c>
      <c r="C17" s="38">
        <v>6846710</v>
      </c>
      <c r="D17" s="35">
        <f t="shared" si="1"/>
        <v>2.252543431048422</v>
      </c>
      <c r="E17" s="120">
        <f t="shared" si="2"/>
        <v>15422512</v>
      </c>
      <c r="F17" s="38">
        <v>187218</v>
      </c>
      <c r="G17" s="23">
        <f t="shared" si="3"/>
        <v>1.2E-2</v>
      </c>
      <c r="J17" s="2"/>
      <c r="M17" s="68">
        <v>36892</v>
      </c>
      <c r="N17" s="121">
        <v>1.1850000000000001</v>
      </c>
      <c r="O17" s="43">
        <f>PRODUCT(N$14:N17)</f>
        <v>1.3</v>
      </c>
      <c r="P17" s="43">
        <f t="shared" si="5"/>
        <v>2.0131171511531933</v>
      </c>
      <c r="R17">
        <v>1990</v>
      </c>
      <c r="S17">
        <v>1.0309999999999999</v>
      </c>
      <c r="T17" s="43">
        <f>PRODUCT($S$14:S17)</f>
        <v>0.97532599999999992</v>
      </c>
      <c r="U17" t="s">
        <v>356</v>
      </c>
      <c r="V17" s="350">
        <f>AD52</f>
        <v>2.3447800436244783</v>
      </c>
      <c r="AD17">
        <v>0.5</v>
      </c>
      <c r="AE17">
        <v>0.5</v>
      </c>
    </row>
    <row r="18" spans="1:46" x14ac:dyDescent="0.2">
      <c r="A18" t="str">
        <f t="shared" si="4"/>
        <v>1987</v>
      </c>
      <c r="C18" s="38">
        <v>7738740</v>
      </c>
      <c r="D18" s="35">
        <f t="shared" si="1"/>
        <v>2.252543431048422</v>
      </c>
      <c r="E18" s="120">
        <f t="shared" si="2"/>
        <v>17431848</v>
      </c>
      <c r="F18" s="38">
        <v>111242</v>
      </c>
      <c r="G18" s="23">
        <f t="shared" si="3"/>
        <v>6.0000000000000001E-3</v>
      </c>
      <c r="J18" s="2"/>
      <c r="M18" s="68">
        <v>37987</v>
      </c>
      <c r="N18" s="121">
        <v>1.0960000000000001</v>
      </c>
      <c r="O18" s="43">
        <f>PRODUCT(N$14:N18)</f>
        <v>1.4248000000000001</v>
      </c>
      <c r="P18" s="43">
        <f t="shared" si="5"/>
        <v>1.8367857218551031</v>
      </c>
      <c r="R18">
        <v>1991</v>
      </c>
      <c r="S18">
        <v>1.25</v>
      </c>
      <c r="T18" s="43">
        <f>PRODUCT($S$14:S18)</f>
        <v>1.2191574999999999</v>
      </c>
      <c r="U18" t="s">
        <v>357</v>
      </c>
      <c r="V18" s="350">
        <f>AE52</f>
        <v>2.0529144384529867</v>
      </c>
      <c r="AE18">
        <v>0.5</v>
      </c>
      <c r="AF18">
        <v>0.5</v>
      </c>
    </row>
    <row r="19" spans="1:46" x14ac:dyDescent="0.2">
      <c r="A19" t="str">
        <f t="shared" si="4"/>
        <v>1988</v>
      </c>
      <c r="C19" s="207">
        <v>8043378</v>
      </c>
      <c r="D19" s="35">
        <f>V15</f>
        <v>2.3150497749726844</v>
      </c>
      <c r="E19" s="120">
        <f t="shared" si="2"/>
        <v>18620820</v>
      </c>
      <c r="F19" s="207">
        <v>1026666</v>
      </c>
      <c r="G19" s="23">
        <f t="shared" si="3"/>
        <v>5.5E-2</v>
      </c>
      <c r="J19" s="2"/>
      <c r="M19" s="68">
        <v>38961</v>
      </c>
      <c r="N19" s="121">
        <v>1.0309999999999999</v>
      </c>
      <c r="O19" s="43">
        <f>PRODUCT(N$14:N19)</f>
        <v>1.4689687999999999</v>
      </c>
      <c r="P19" s="43">
        <f t="shared" si="5"/>
        <v>1.781557441178568</v>
      </c>
      <c r="R19">
        <v>1992</v>
      </c>
      <c r="S19">
        <v>0.45999999999999996</v>
      </c>
      <c r="T19" s="43">
        <f>PRODUCT($S$14:S19)</f>
        <v>0.56081244999999991</v>
      </c>
      <c r="U19" t="s">
        <v>358</v>
      </c>
      <c r="V19" s="350">
        <f>AF52</f>
        <v>2.5309904035721749</v>
      </c>
      <c r="AF19">
        <v>0.5</v>
      </c>
      <c r="AG19">
        <v>0.5</v>
      </c>
    </row>
    <row r="20" spans="1:46" x14ac:dyDescent="0.2">
      <c r="A20" t="str">
        <f t="shared" si="4"/>
        <v>1989</v>
      </c>
      <c r="C20" s="207">
        <v>8149957</v>
      </c>
      <c r="D20" s="35">
        <f t="shared" ref="D20:D33" si="6">V16</f>
        <v>2.3811241343006575</v>
      </c>
      <c r="E20" s="120">
        <f t="shared" si="2"/>
        <v>19406059</v>
      </c>
      <c r="F20" s="207">
        <v>1163813</v>
      </c>
      <c r="G20" s="23">
        <f t="shared" si="3"/>
        <v>0.06</v>
      </c>
      <c r="J20" s="2"/>
      <c r="M20" s="68">
        <v>39083</v>
      </c>
      <c r="N20" s="121">
        <v>1.042</v>
      </c>
      <c r="O20" s="43">
        <f>PRODUCT(N$14:N20)</f>
        <v>1.5306654895999998</v>
      </c>
      <c r="P20" s="43">
        <f t="shared" si="5"/>
        <v>1.7097480241636929</v>
      </c>
      <c r="R20">
        <v>1993</v>
      </c>
      <c r="S20">
        <v>1.3</v>
      </c>
      <c r="T20" s="43">
        <f>PRODUCT($S$14:S20)</f>
        <v>0.72905618499999991</v>
      </c>
      <c r="U20" t="s">
        <v>359</v>
      </c>
      <c r="V20" s="350">
        <f>AG52</f>
        <v>3.4926710673113193</v>
      </c>
      <c r="AG20">
        <v>0.5</v>
      </c>
      <c r="AH20">
        <v>0.5</v>
      </c>
    </row>
    <row r="21" spans="1:46" x14ac:dyDescent="0.2">
      <c r="A21" t="str">
        <f t="shared" si="4"/>
        <v>1990</v>
      </c>
      <c r="C21" s="207">
        <v>7816199</v>
      </c>
      <c r="D21" s="35">
        <f t="shared" si="6"/>
        <v>2.3447800436244783</v>
      </c>
      <c r="E21" s="120">
        <f t="shared" si="2"/>
        <v>18327267</v>
      </c>
      <c r="F21" s="207">
        <v>5908943</v>
      </c>
      <c r="G21" s="23">
        <f t="shared" si="3"/>
        <v>0.32200000000000001</v>
      </c>
      <c r="J21" s="2"/>
      <c r="M21" s="68">
        <v>39479</v>
      </c>
      <c r="N21" s="121">
        <v>1.0820000000000001</v>
      </c>
      <c r="O21" s="43">
        <f>PRODUCT(N$14:N21)</f>
        <v>1.6561800597471998</v>
      </c>
      <c r="P21" s="43">
        <f t="shared" si="5"/>
        <v>1.5801737746429694</v>
      </c>
      <c r="R21">
        <v>1994</v>
      </c>
      <c r="S21">
        <v>1</v>
      </c>
      <c r="T21" s="43">
        <f>PRODUCT($S$14:S21)</f>
        <v>0.72905618499999991</v>
      </c>
      <c r="U21" t="s">
        <v>80</v>
      </c>
      <c r="V21" s="350">
        <f>AH52</f>
        <v>3.0896705595446288</v>
      </c>
      <c r="AH21">
        <v>0.5</v>
      </c>
      <c r="AI21">
        <v>0.5</v>
      </c>
    </row>
    <row r="22" spans="1:46" x14ac:dyDescent="0.2">
      <c r="A22" t="str">
        <f t="shared" si="4"/>
        <v>1991</v>
      </c>
      <c r="C22" s="100">
        <f>'[3]TICO 2'!O36</f>
        <v>8645207.9953246601</v>
      </c>
      <c r="D22" s="35">
        <f t="shared" si="6"/>
        <v>2.0529144384529867</v>
      </c>
      <c r="E22" s="120">
        <f>ROUND(C22*D22,0)</f>
        <v>17747872</v>
      </c>
      <c r="F22" s="100">
        <f>'[3]TICO 2'!U36</f>
        <v>13225286.939999998</v>
      </c>
      <c r="G22" s="23">
        <f t="shared" si="3"/>
        <v>0.745</v>
      </c>
      <c r="J22" s="2"/>
      <c r="M22" s="68">
        <v>39845</v>
      </c>
      <c r="N22" s="121">
        <v>1.123</v>
      </c>
      <c r="O22" s="43">
        <f>PRODUCT(N$14:N22)</f>
        <v>1.8598902070961054</v>
      </c>
      <c r="P22" s="43">
        <f t="shared" si="5"/>
        <v>1.4071004226562505</v>
      </c>
      <c r="R22">
        <v>1995</v>
      </c>
      <c r="S22">
        <v>1.25</v>
      </c>
      <c r="T22" s="43">
        <f>PRODUCT($S$14:S22)</f>
        <v>0.91132023124999995</v>
      </c>
      <c r="U22" t="s">
        <v>360</v>
      </c>
      <c r="V22" s="350">
        <f>AI52</f>
        <v>2.7463738307063363</v>
      </c>
      <c r="AI22">
        <v>0.5</v>
      </c>
      <c r="AJ22">
        <v>0.5</v>
      </c>
    </row>
    <row r="23" spans="1:46" x14ac:dyDescent="0.2">
      <c r="A23" t="str">
        <f t="shared" si="4"/>
        <v>1992</v>
      </c>
      <c r="B23" s="22"/>
      <c r="C23" s="100">
        <f>'[3]TICO 2'!O37</f>
        <v>5826466.6888902895</v>
      </c>
      <c r="D23" s="35">
        <f t="shared" si="6"/>
        <v>2.5309904035721749</v>
      </c>
      <c r="E23" s="120">
        <f t="shared" si="2"/>
        <v>14746731</v>
      </c>
      <c r="F23" s="100">
        <f>'[3]TICO 2'!U37</f>
        <v>180484.07</v>
      </c>
      <c r="G23" s="23">
        <f t="shared" si="3"/>
        <v>1.2E-2</v>
      </c>
      <c r="J23" s="2"/>
      <c r="M23" s="68">
        <v>40544</v>
      </c>
      <c r="N23" s="121">
        <v>1.05</v>
      </c>
      <c r="O23" s="43">
        <f>PRODUCT(N$14:N23)</f>
        <v>1.9528847174509107</v>
      </c>
      <c r="P23" s="43">
        <f t="shared" si="5"/>
        <v>1.3400956406250004</v>
      </c>
      <c r="R23">
        <v>1996</v>
      </c>
      <c r="S23">
        <v>1</v>
      </c>
      <c r="T23" s="43">
        <f>PRODUCT($S$14:S23)</f>
        <v>0.91132023124999995</v>
      </c>
      <c r="U23" t="s">
        <v>361</v>
      </c>
      <c r="V23" s="350">
        <f>AJ52</f>
        <v>2.4717364476357027</v>
      </c>
      <c r="AJ23">
        <v>0.5</v>
      </c>
      <c r="AK23">
        <v>0.5</v>
      </c>
    </row>
    <row r="24" spans="1:46" x14ac:dyDescent="0.2">
      <c r="A24" t="str">
        <f t="shared" si="4"/>
        <v>1993</v>
      </c>
      <c r="B24" s="22"/>
      <c r="C24" s="100">
        <f>'[3]TICO 2'!O38</f>
        <v>5825915.9799037296</v>
      </c>
      <c r="D24" s="35">
        <f t="shared" si="6"/>
        <v>3.4926710673113193</v>
      </c>
      <c r="E24" s="120">
        <f t="shared" si="2"/>
        <v>20348008</v>
      </c>
      <c r="F24" s="100">
        <f>'[3]TICO 2'!U38</f>
        <v>1900088.189999999</v>
      </c>
      <c r="G24" s="23">
        <f t="shared" si="3"/>
        <v>9.2999999999999999E-2</v>
      </c>
      <c r="J24" s="2"/>
      <c r="M24" s="68">
        <v>40909</v>
      </c>
      <c r="N24" s="121">
        <v>1.05</v>
      </c>
      <c r="O24" s="43">
        <f>PRODUCT(N$14:N24)</f>
        <v>2.0505289533234565</v>
      </c>
      <c r="P24" s="43">
        <f t="shared" si="5"/>
        <v>1.2762815625000004</v>
      </c>
      <c r="R24">
        <v>1997</v>
      </c>
      <c r="S24">
        <v>1</v>
      </c>
      <c r="T24" s="43">
        <f>PRODUCT($S$14:S24)</f>
        <v>0.91132023124999995</v>
      </c>
      <c r="U24" t="s">
        <v>362</v>
      </c>
      <c r="V24" s="350">
        <f>AK52</f>
        <v>2.4717364476357027</v>
      </c>
      <c r="AK24">
        <v>0.5</v>
      </c>
      <c r="AL24">
        <v>0.5</v>
      </c>
    </row>
    <row r="25" spans="1:46" x14ac:dyDescent="0.2">
      <c r="A25" t="str">
        <f t="shared" si="4"/>
        <v>1994</v>
      </c>
      <c r="B25" s="22"/>
      <c r="C25" s="100">
        <f>'[3]TICO 2'!O39</f>
        <v>6996873.8393279798</v>
      </c>
      <c r="D25" s="35">
        <f t="shared" si="6"/>
        <v>3.0896705595446288</v>
      </c>
      <c r="E25" s="120">
        <f t="shared" si="2"/>
        <v>21618035</v>
      </c>
      <c r="F25" s="100">
        <f>'[3]TICO 2'!U39</f>
        <v>420037.679999999</v>
      </c>
      <c r="G25" s="23">
        <f t="shared" si="3"/>
        <v>1.9E-2</v>
      </c>
      <c r="J25" s="2"/>
      <c r="M25" s="68">
        <v>41275</v>
      </c>
      <c r="N25" s="121">
        <v>1.05</v>
      </c>
      <c r="O25" s="43">
        <f>PRODUCT(N$14:N25)</f>
        <v>2.1530554009896297</v>
      </c>
      <c r="P25" s="43">
        <f t="shared" si="5"/>
        <v>1.21550625</v>
      </c>
      <c r="R25">
        <v>1998</v>
      </c>
      <c r="S25">
        <v>1.002</v>
      </c>
      <c r="T25" s="43">
        <f>PRODUCT($S$14:S25)</f>
        <v>0.91314287171249997</v>
      </c>
      <c r="U25" t="s">
        <v>363</v>
      </c>
      <c r="V25" s="350">
        <f>AL52</f>
        <v>2.4692671804552475</v>
      </c>
      <c r="AL25">
        <v>0.5</v>
      </c>
      <c r="AM25">
        <v>0.5</v>
      </c>
    </row>
    <row r="26" spans="1:46" x14ac:dyDescent="0.2">
      <c r="A26" t="str">
        <f t="shared" si="4"/>
        <v>1995</v>
      </c>
      <c r="C26" s="100">
        <f>'[3]TICO 2'!O40</f>
        <v>8737576.0959496386</v>
      </c>
      <c r="D26" s="35">
        <f t="shared" si="6"/>
        <v>2.7463738307063363</v>
      </c>
      <c r="E26" s="120">
        <f t="shared" si="2"/>
        <v>23996650</v>
      </c>
      <c r="F26" s="100">
        <f>'[3]TICO 2'!U40</f>
        <v>644169</v>
      </c>
      <c r="G26" s="23">
        <f t="shared" si="3"/>
        <v>2.7E-2</v>
      </c>
      <c r="J26" s="2"/>
      <c r="M26" s="68">
        <v>41640</v>
      </c>
      <c r="N26" s="121">
        <v>1.05</v>
      </c>
      <c r="O26" s="43">
        <f>PRODUCT(N$14:N26)</f>
        <v>2.260708171039111</v>
      </c>
      <c r="P26" s="43">
        <f t="shared" si="5"/>
        <v>1.1576250000000001</v>
      </c>
      <c r="R26">
        <v>1999</v>
      </c>
      <c r="S26">
        <v>0.90600000000000003</v>
      </c>
      <c r="T26" s="43">
        <f>PRODUCT($S$14:S26)</f>
        <v>0.82730744177152504</v>
      </c>
      <c r="U26" t="s">
        <v>364</v>
      </c>
      <c r="V26" s="350">
        <f>AM52</f>
        <v>2.5884604847343118</v>
      </c>
      <c r="AM26">
        <v>0.5</v>
      </c>
      <c r="AN26">
        <v>0.5</v>
      </c>
    </row>
    <row r="27" spans="1:46" x14ac:dyDescent="0.2">
      <c r="A27" t="str">
        <f t="shared" si="4"/>
        <v>1996</v>
      </c>
      <c r="C27" s="100">
        <f>'[3]TICO 2'!O41</f>
        <v>11652672.33924751</v>
      </c>
      <c r="D27" s="35">
        <f t="shared" si="6"/>
        <v>2.4717364476357027</v>
      </c>
      <c r="E27" s="120">
        <f t="shared" si="2"/>
        <v>28802335</v>
      </c>
      <c r="F27" s="100">
        <f>'[3]TICO 2'!U41</f>
        <v>406004</v>
      </c>
      <c r="G27" s="23">
        <f t="shared" si="3"/>
        <v>1.4E-2</v>
      </c>
      <c r="J27" s="2"/>
      <c r="M27" s="68">
        <v>42005</v>
      </c>
      <c r="N27" s="121">
        <v>1.05</v>
      </c>
      <c r="O27" s="43">
        <f>PRODUCT(N$14:N27)</f>
        <v>2.3737435795910669</v>
      </c>
      <c r="P27" s="43">
        <f t="shared" si="5"/>
        <v>1.1025</v>
      </c>
      <c r="R27">
        <v>2000</v>
      </c>
      <c r="S27">
        <v>1.087</v>
      </c>
      <c r="T27" s="43">
        <f>PRODUCT($S$14:S27)</f>
        <v>0.89928318920564765</v>
      </c>
      <c r="U27" t="s">
        <v>365</v>
      </c>
      <c r="V27" s="350">
        <f>AN52</f>
        <v>2.6092385660329733</v>
      </c>
      <c r="AN27">
        <v>0.5</v>
      </c>
      <c r="AO27">
        <v>0.5</v>
      </c>
    </row>
    <row r="28" spans="1:46" x14ac:dyDescent="0.2">
      <c r="A28" t="str">
        <f t="shared" si="4"/>
        <v>1997</v>
      </c>
      <c r="C28" s="100">
        <f>'[3]TICO 2'!O42</f>
        <v>12573252.045386501</v>
      </c>
      <c r="D28" s="35">
        <f t="shared" si="6"/>
        <v>2.4717364476357027</v>
      </c>
      <c r="E28" s="120">
        <f t="shared" si="2"/>
        <v>31077765</v>
      </c>
      <c r="F28" s="100">
        <f>'[3]TICO 2'!U42</f>
        <v>573343</v>
      </c>
      <c r="G28" s="23">
        <f t="shared" si="3"/>
        <v>1.7999999999999999E-2</v>
      </c>
      <c r="J28" s="2"/>
      <c r="M28" s="68">
        <v>42370</v>
      </c>
      <c r="N28" s="121">
        <v>1.05</v>
      </c>
      <c r="O28" s="43">
        <f>PRODUCT(N$14:N28)</f>
        <v>2.4924307585706202</v>
      </c>
      <c r="P28" s="43">
        <f t="shared" si="5"/>
        <v>1.05</v>
      </c>
      <c r="R28">
        <v>2001</v>
      </c>
      <c r="S28">
        <v>1.1850000000000001</v>
      </c>
      <c r="T28" s="43">
        <f>PRODUCT($S$14:S28)</f>
        <v>1.0656505792086925</v>
      </c>
      <c r="U28" t="s">
        <v>366</v>
      </c>
      <c r="V28" s="350">
        <f>AO52</f>
        <v>2.2927423481211551</v>
      </c>
      <c r="AO28">
        <v>0.5</v>
      </c>
      <c r="AP28">
        <v>0.5</v>
      </c>
    </row>
    <row r="29" spans="1:46" x14ac:dyDescent="0.2">
      <c r="A29" t="str">
        <f t="shared" si="4"/>
        <v>1998</v>
      </c>
      <c r="C29" s="100">
        <f>'[3]TICO 2'!O43</f>
        <v>13838930.147333838</v>
      </c>
      <c r="D29" s="35">
        <f t="shared" si="6"/>
        <v>2.4692671804552475</v>
      </c>
      <c r="E29" s="120">
        <f t="shared" si="2"/>
        <v>34172016</v>
      </c>
      <c r="F29" s="100">
        <f>'[3]TICO 2'!U43</f>
        <v>6371206</v>
      </c>
      <c r="G29" s="23">
        <f t="shared" si="3"/>
        <v>0.186</v>
      </c>
      <c r="J29" s="2"/>
      <c r="M29" s="68">
        <v>43101</v>
      </c>
      <c r="N29" s="121">
        <v>1.05</v>
      </c>
      <c r="O29" s="43">
        <f>PRODUCT(N$14:N29)</f>
        <v>2.6170522964991512</v>
      </c>
      <c r="P29" s="43">
        <f>O$29/O29</f>
        <v>1</v>
      </c>
      <c r="R29">
        <v>2002</v>
      </c>
      <c r="S29">
        <v>1</v>
      </c>
      <c r="T29" s="43">
        <f>PRODUCT($S$14:S29)</f>
        <v>1.0656505792086925</v>
      </c>
      <c r="U29" t="s">
        <v>367</v>
      </c>
      <c r="V29" s="350">
        <f>AP52</f>
        <v>2.1137730087108539</v>
      </c>
      <c r="AP29">
        <v>0.5</v>
      </c>
      <c r="AQ29">
        <v>0.5</v>
      </c>
    </row>
    <row r="30" spans="1:46" x14ac:dyDescent="0.2">
      <c r="A30" t="str">
        <f t="shared" si="4"/>
        <v>1999</v>
      </c>
      <c r="C30" s="100">
        <f>'[3]TICO 2'!O44</f>
        <v>14103814.475361705</v>
      </c>
      <c r="D30" s="35">
        <f t="shared" si="6"/>
        <v>2.5884604847343118</v>
      </c>
      <c r="E30" s="120">
        <f t="shared" si="2"/>
        <v>36507166</v>
      </c>
      <c r="F30" s="100">
        <f>'[3]TICO 2'!U44</f>
        <v>742130</v>
      </c>
      <c r="G30" s="23">
        <f t="shared" si="3"/>
        <v>0.02</v>
      </c>
      <c r="J30" s="2"/>
      <c r="R30">
        <v>2003</v>
      </c>
      <c r="S30">
        <v>1</v>
      </c>
      <c r="T30" s="43">
        <f>PRODUCT($S$14:S30)</f>
        <v>1.0656505792086925</v>
      </c>
      <c r="U30" t="s">
        <v>368</v>
      </c>
      <c r="V30" s="350">
        <f>AQ52</f>
        <v>2.1137730087108539</v>
      </c>
      <c r="AQ30">
        <v>0.5</v>
      </c>
      <c r="AR30">
        <v>0.5</v>
      </c>
    </row>
    <row r="31" spans="1:46" x14ac:dyDescent="0.2">
      <c r="A31" t="str">
        <f t="shared" si="4"/>
        <v>2000</v>
      </c>
      <c r="C31" s="100">
        <f>'[3]TICO 2'!O45</f>
        <v>15784217.73365989</v>
      </c>
      <c r="D31" s="35">
        <f t="shared" si="6"/>
        <v>2.6092385660329733</v>
      </c>
      <c r="E31" s="120">
        <f t="shared" si="2"/>
        <v>41184790</v>
      </c>
      <c r="F31" s="100">
        <f>'[3]TICO 2'!U45</f>
        <v>324948</v>
      </c>
      <c r="G31" s="23">
        <f t="shared" si="3"/>
        <v>8.0000000000000002E-3</v>
      </c>
      <c r="H31" s="230"/>
      <c r="J31" s="2"/>
      <c r="R31">
        <v>2004</v>
      </c>
      <c r="S31">
        <v>1.0960000000000001</v>
      </c>
      <c r="T31" s="43">
        <f>PRODUCT($S$14:S31)</f>
        <v>1.1679530348127272</v>
      </c>
      <c r="U31" t="s">
        <v>369</v>
      </c>
      <c r="V31" s="350">
        <f>AR52</f>
        <v>2.0169589777775321</v>
      </c>
      <c r="AR31">
        <v>0.5</v>
      </c>
      <c r="AS31">
        <v>0.5</v>
      </c>
    </row>
    <row r="32" spans="1:46" x14ac:dyDescent="0.2">
      <c r="A32" t="str">
        <f t="shared" si="4"/>
        <v>2001</v>
      </c>
      <c r="C32" s="100">
        <f>'[3]TICO 2'!O46</f>
        <v>17776665.907286998</v>
      </c>
      <c r="D32" s="35">
        <f t="shared" si="6"/>
        <v>2.2927423481211551</v>
      </c>
      <c r="E32" s="120">
        <f t="shared" si="2"/>
        <v>40757315</v>
      </c>
      <c r="F32" s="100">
        <f>'[3]TICO 2'!U46</f>
        <v>1947817</v>
      </c>
      <c r="G32" s="23">
        <f t="shared" si="3"/>
        <v>4.8000000000000001E-2</v>
      </c>
      <c r="H32" s="230"/>
      <c r="J32" s="2"/>
      <c r="R32">
        <v>2005</v>
      </c>
      <c r="S32">
        <v>1</v>
      </c>
      <c r="T32" s="43">
        <f>PRODUCT($S$14:S32)</f>
        <v>1.1679530348127272</v>
      </c>
      <c r="U32" t="s">
        <v>370</v>
      </c>
      <c r="V32" s="350">
        <f>AS52</f>
        <v>1.9286250079478591</v>
      </c>
      <c r="AS32">
        <v>0.5</v>
      </c>
      <c r="AT32" s="282">
        <v>0.5</v>
      </c>
    </row>
    <row r="33" spans="1:61" x14ac:dyDescent="0.2">
      <c r="A33" t="str">
        <f t="shared" si="4"/>
        <v>2002</v>
      </c>
      <c r="C33" s="100">
        <f>'[3]TICO 2'!O47</f>
        <v>20514469</v>
      </c>
      <c r="D33" s="35">
        <f t="shared" si="6"/>
        <v>2.1137730087108539</v>
      </c>
      <c r="E33" s="120">
        <f t="shared" ref="E33:E47" si="7">ROUND(C33*D33,0)</f>
        <v>43362931</v>
      </c>
      <c r="F33" s="100">
        <f>'[3]TICO 2'!U47</f>
        <v>10059284</v>
      </c>
      <c r="G33" s="23">
        <f t="shared" si="3"/>
        <v>0.23200000000000001</v>
      </c>
      <c r="H33" s="230"/>
      <c r="J33" s="2"/>
      <c r="R33">
        <v>2006</v>
      </c>
      <c r="S33">
        <v>1</v>
      </c>
      <c r="T33" s="43">
        <f>PRODUCT($S$14:S33)</f>
        <v>1.1679530348127272</v>
      </c>
      <c r="U33" t="s">
        <v>371</v>
      </c>
      <c r="V33" s="350">
        <f>AT52</f>
        <v>1.9253091976629948</v>
      </c>
      <c r="AT33" s="282">
        <f>0.5-AT34</f>
        <v>0.44444444444444442</v>
      </c>
      <c r="AU33">
        <f>0.5*(8/12)^2</f>
        <v>0.22222222222222221</v>
      </c>
    </row>
    <row r="34" spans="1:61" x14ac:dyDescent="0.2">
      <c r="A34" t="str">
        <f t="shared" si="4"/>
        <v>2003</v>
      </c>
      <c r="C34" s="100">
        <f>'[3]TICO 2'!O48</f>
        <v>25868450</v>
      </c>
      <c r="D34" s="101">
        <f>'[3]TWIA 5'!J273</f>
        <v>2.1137730087108535</v>
      </c>
      <c r="E34" s="120">
        <f t="shared" si="7"/>
        <v>54680031</v>
      </c>
      <c r="F34" s="100">
        <f>'[3]TICO 2'!U48</f>
        <v>2672918</v>
      </c>
      <c r="G34" s="23">
        <f t="shared" si="3"/>
        <v>4.9000000000000002E-2</v>
      </c>
      <c r="H34" s="230"/>
      <c r="J34" s="2"/>
      <c r="Q34" s="68">
        <v>42614</v>
      </c>
      <c r="R34">
        <v>2006.66666667</v>
      </c>
      <c r="S34">
        <v>1.0309999999999999</v>
      </c>
      <c r="T34" s="43">
        <f>PRODUCT($S$14:S34)</f>
        <v>1.2041595788919217</v>
      </c>
      <c r="U34" t="s">
        <v>372</v>
      </c>
      <c r="V34" s="350">
        <f>AT52</f>
        <v>1.9253091976629948</v>
      </c>
      <c r="AT34" s="282">
        <f>0.5*(4/12)^2</f>
        <v>5.5555555555555552E-2</v>
      </c>
      <c r="AU34">
        <f>0.5-AU33</f>
        <v>0.27777777777777779</v>
      </c>
    </row>
    <row r="35" spans="1:61" x14ac:dyDescent="0.2">
      <c r="A35" t="str">
        <f t="shared" si="4"/>
        <v>2004</v>
      </c>
      <c r="B35" s="59"/>
      <c r="C35" s="100">
        <f>'[3]TICO 2'!O49</f>
        <v>30357860</v>
      </c>
      <c r="D35" s="101">
        <f>'[3]TWIA 5'!J274</f>
        <v>2.0155786842906278</v>
      </c>
      <c r="E35" s="120">
        <f t="shared" si="7"/>
        <v>61188656</v>
      </c>
      <c r="F35" s="100">
        <f>'[3]TICO 2'!U49</f>
        <v>731759</v>
      </c>
      <c r="G35" s="23">
        <f t="shared" si="3"/>
        <v>1.2E-2</v>
      </c>
      <c r="J35" s="2"/>
      <c r="R35">
        <v>2007</v>
      </c>
      <c r="S35">
        <v>1.042</v>
      </c>
      <c r="T35" s="43">
        <f>PRODUCT($S$14:S35)</f>
        <v>1.2547342812053826</v>
      </c>
      <c r="U35" t="s">
        <v>373</v>
      </c>
      <c r="V35" s="350">
        <f>AU52</f>
        <v>1.8442291869789729</v>
      </c>
      <c r="AU35">
        <v>0.5</v>
      </c>
      <c r="AV35">
        <f>1-AV36</f>
        <v>0.57986111111111116</v>
      </c>
      <c r="AW35">
        <f>0.5*(1/12)^2</f>
        <v>3.472222222222222E-3</v>
      </c>
    </row>
    <row r="36" spans="1:61" x14ac:dyDescent="0.2">
      <c r="A36" t="str">
        <f t="shared" si="4"/>
        <v>2005</v>
      </c>
      <c r="C36" s="100">
        <f>'[3]TICO 2'!O50</f>
        <v>36780457</v>
      </c>
      <c r="D36" s="101">
        <f>'[3]TWIA 5'!J275</f>
        <v>1.9286250079478591</v>
      </c>
      <c r="E36" s="120">
        <f t="shared" si="7"/>
        <v>70935709</v>
      </c>
      <c r="F36" s="100">
        <f>'[3]TICO 2'!U50</f>
        <v>34527644</v>
      </c>
      <c r="G36" s="23">
        <f t="shared" si="3"/>
        <v>0.48699999999999999</v>
      </c>
      <c r="J36" s="2"/>
      <c r="Q36" s="68">
        <v>39479</v>
      </c>
      <c r="R36">
        <v>2008.0833333</v>
      </c>
      <c r="S36">
        <v>1.0820000000000001</v>
      </c>
      <c r="T36" s="43">
        <f>PRODUCT($S$14:S36)</f>
        <v>1.3576224922642239</v>
      </c>
      <c r="U36" t="s">
        <v>374</v>
      </c>
      <c r="V36" s="350">
        <f>AV52</f>
        <v>1.7354468703455963</v>
      </c>
      <c r="AV36">
        <f>0.5*(11/12)^2</f>
        <v>0.42013888888888884</v>
      </c>
      <c r="AW36">
        <f>1-AW35-AW37</f>
        <v>0.57638888888888895</v>
      </c>
      <c r="AX36">
        <f>0.5*(1/12)^2</f>
        <v>3.472222222222222E-3</v>
      </c>
    </row>
    <row r="37" spans="1:61" x14ac:dyDescent="0.2">
      <c r="A37" t="str">
        <f t="shared" si="4"/>
        <v>2006</v>
      </c>
      <c r="C37" s="100">
        <f>'[3]TICO 2'!O51</f>
        <v>43562211</v>
      </c>
      <c r="D37" s="101">
        <f>'[3]TWIA 5'!J276</f>
        <v>1.9239964550740354</v>
      </c>
      <c r="E37" s="120">
        <f t="shared" si="7"/>
        <v>83813540</v>
      </c>
      <c r="F37" s="100">
        <f>'[3]TICO 2'!U51</f>
        <v>813430</v>
      </c>
      <c r="G37" s="23">
        <f t="shared" si="3"/>
        <v>0.01</v>
      </c>
      <c r="J37" s="2"/>
      <c r="Q37" s="68">
        <v>39845</v>
      </c>
      <c r="R37">
        <v>2009.08</v>
      </c>
      <c r="S37">
        <v>1.123</v>
      </c>
      <c r="T37" s="43">
        <f>PRODUCT($S$14:S37)</f>
        <v>1.5246100588127234</v>
      </c>
      <c r="U37" t="s">
        <v>375</v>
      </c>
      <c r="V37" s="350">
        <f>AW52</f>
        <v>1.5780487607300271</v>
      </c>
      <c r="AW37">
        <f>0.5*(11/12)^2</f>
        <v>0.42013888888888884</v>
      </c>
      <c r="AX37">
        <f>0.5-AX36</f>
        <v>0.49652777777777779</v>
      </c>
    </row>
    <row r="38" spans="1:61" x14ac:dyDescent="0.2">
      <c r="A38" s="50" t="str">
        <f t="shared" si="4"/>
        <v>2007</v>
      </c>
      <c r="B38" s="51"/>
      <c r="C38" s="100">
        <f>'[3]TICO 2'!O52</f>
        <v>59282257</v>
      </c>
      <c r="D38" s="101">
        <f>'[3]TWIA 5'!J277</f>
        <v>1.8364634726042233</v>
      </c>
      <c r="E38" s="120">
        <f t="shared" si="7"/>
        <v>108869700</v>
      </c>
      <c r="F38" s="100">
        <f>'[3]TICO 2'!U52</f>
        <v>2757645</v>
      </c>
      <c r="G38" s="53">
        <f t="shared" si="3"/>
        <v>2.5000000000000001E-2</v>
      </c>
      <c r="J38" s="2"/>
      <c r="R38">
        <v>2010</v>
      </c>
      <c r="S38">
        <v>1</v>
      </c>
      <c r="T38" s="43">
        <f>PRODUCT($S$14:S38)</f>
        <v>1.5246100588127234</v>
      </c>
      <c r="U38" t="s">
        <v>376</v>
      </c>
      <c r="V38" s="350">
        <f>AX52</f>
        <v>1.4780175423275337</v>
      </c>
      <c r="AX38">
        <v>0.5</v>
      </c>
      <c r="AY38">
        <v>0.5</v>
      </c>
    </row>
    <row r="39" spans="1:61" x14ac:dyDescent="0.2">
      <c r="A39" s="50" t="str">
        <f t="shared" si="4"/>
        <v>2008</v>
      </c>
      <c r="B39" s="59"/>
      <c r="C39" s="100">
        <f>'[3]TICO 2'!O53</f>
        <v>73789694</v>
      </c>
      <c r="D39" s="101">
        <f>'[3]TWIA 5'!J278</f>
        <v>1.7320113079002217</v>
      </c>
      <c r="E39" s="120">
        <f t="shared" si="7"/>
        <v>127804584</v>
      </c>
      <c r="F39" s="100">
        <f>'[3]TICO 2'!U53-K41</f>
        <v>845466768</v>
      </c>
      <c r="G39" s="53">
        <f>ROUND(F39/E39,3)</f>
        <v>6.6150000000000002</v>
      </c>
      <c r="H39" s="43"/>
      <c r="I39" s="43"/>
      <c r="J39" s="2"/>
      <c r="R39">
        <v>2011</v>
      </c>
      <c r="S39">
        <v>1.05</v>
      </c>
      <c r="T39" s="43">
        <f>PRODUCT($S$14:S39)</f>
        <v>1.6008405617533596</v>
      </c>
      <c r="U39" t="s">
        <v>377</v>
      </c>
      <c r="V39" s="351">
        <f>AY52</f>
        <v>1.4414199451600618</v>
      </c>
      <c r="AY39">
        <v>0.5</v>
      </c>
      <c r="AZ39">
        <v>0.5</v>
      </c>
    </row>
    <row r="40" spans="1:61" x14ac:dyDescent="0.2">
      <c r="A40" s="50" t="str">
        <f t="shared" si="4"/>
        <v>2009</v>
      </c>
      <c r="B40" s="59"/>
      <c r="C40" s="100">
        <f>'[3]TICO 2'!O54</f>
        <v>81999709</v>
      </c>
      <c r="D40" s="101">
        <f>'[3]TWIA 5'!J279</f>
        <v>1.5736409509560276</v>
      </c>
      <c r="E40" s="120">
        <f>ROUND(C40*D40,0)</f>
        <v>129038100</v>
      </c>
      <c r="F40" s="100">
        <f>'[3]TICO 2'!U54</f>
        <v>3581024</v>
      </c>
      <c r="G40" s="53">
        <f t="shared" si="3"/>
        <v>2.8000000000000001E-2</v>
      </c>
      <c r="J40" s="2"/>
      <c r="K40" t="s">
        <v>324</v>
      </c>
      <c r="R40">
        <v>2012</v>
      </c>
      <c r="S40">
        <v>1.05</v>
      </c>
      <c r="T40" s="43">
        <f>PRODUCT($S$14:S40)</f>
        <v>1.6808825898410278</v>
      </c>
      <c r="U40" t="s">
        <v>378</v>
      </c>
      <c r="V40" s="351">
        <f>AZ52</f>
        <v>1.3727809001524396</v>
      </c>
      <c r="AZ40">
        <v>0.5</v>
      </c>
      <c r="BA40">
        <v>0.5</v>
      </c>
    </row>
    <row r="41" spans="1:61" x14ac:dyDescent="0.2">
      <c r="A41" s="50" t="str">
        <f t="shared" si="4"/>
        <v>2010</v>
      </c>
      <c r="B41" s="59"/>
      <c r="C41" s="100">
        <f>'[3]TICO 2'!O55</f>
        <v>89665314</v>
      </c>
      <c r="D41" s="101">
        <f>'[3]TWIA 5'!J280</f>
        <v>1.4778548957967299</v>
      </c>
      <c r="E41" s="120">
        <f t="shared" si="7"/>
        <v>132512323</v>
      </c>
      <c r="F41" s="100">
        <f>'[3]TICO 2'!U55</f>
        <v>1451547</v>
      </c>
      <c r="G41" s="53">
        <f t="shared" si="3"/>
        <v>1.0999999999999999E-2</v>
      </c>
      <c r="H41" s="19"/>
      <c r="J41" s="2"/>
      <c r="K41" s="314">
        <v>206858309</v>
      </c>
      <c r="L41" s="19"/>
      <c r="R41">
        <v>2013</v>
      </c>
      <c r="S41">
        <v>1.05</v>
      </c>
      <c r="T41" s="43">
        <f>PRODUCT($S$14:S41)</f>
        <v>1.7649267193330793</v>
      </c>
      <c r="U41" t="s">
        <v>379</v>
      </c>
      <c r="V41" s="351">
        <f>BA52</f>
        <v>1.3074103810975612</v>
      </c>
      <c r="BA41">
        <v>0.5</v>
      </c>
      <c r="BB41">
        <v>0.5</v>
      </c>
    </row>
    <row r="42" spans="1:61" x14ac:dyDescent="0.2">
      <c r="A42" s="50" t="str">
        <f t="shared" si="4"/>
        <v>2011</v>
      </c>
      <c r="B42" s="59"/>
      <c r="C42" s="100">
        <f>'[3]TICO 2'!O56</f>
        <v>93230854</v>
      </c>
      <c r="D42" s="101">
        <f>'[3]TWIA 5'!J281</f>
        <v>1.4413525093000297</v>
      </c>
      <c r="E42" s="120">
        <f t="shared" si="7"/>
        <v>134378525</v>
      </c>
      <c r="F42" s="100">
        <f>'[3]TICO 2'!U56</f>
        <v>1329886</v>
      </c>
      <c r="G42" s="53">
        <f t="shared" si="3"/>
        <v>0.01</v>
      </c>
      <c r="J42" s="2"/>
      <c r="R42">
        <v>2014</v>
      </c>
      <c r="S42">
        <v>1.05</v>
      </c>
      <c r="T42" s="43">
        <f>PRODUCT($S$14:S42)</f>
        <v>1.8531730552997334</v>
      </c>
      <c r="U42" s="59" t="s">
        <v>380</v>
      </c>
      <c r="V42" s="351">
        <f>BB52</f>
        <v>1.2451527439024392</v>
      </c>
      <c r="BB42">
        <v>0.5</v>
      </c>
      <c r="BC42">
        <v>0.5</v>
      </c>
    </row>
    <row r="43" spans="1:61" s="59" customFormat="1" x14ac:dyDescent="0.2">
      <c r="A43" s="50" t="str">
        <f t="shared" si="4"/>
        <v>2012</v>
      </c>
      <c r="B43" s="45"/>
      <c r="C43" s="100">
        <f>'[3]TICO 2'!O57</f>
        <v>99629727</v>
      </c>
      <c r="D43" s="101">
        <f>'[3]TWIA 5'!J282</f>
        <v>1.3727418575616306</v>
      </c>
      <c r="E43" s="120">
        <f>ROUND(C43*D43,0)</f>
        <v>136765897</v>
      </c>
      <c r="F43" s="100">
        <f>'[3]TICO 2'!U57</f>
        <v>10756644</v>
      </c>
      <c r="G43" s="53">
        <f t="shared" ref="G43:G52" si="8">ROUND(F43/E43,3)</f>
        <v>7.9000000000000001E-2</v>
      </c>
      <c r="I43"/>
      <c r="J43" s="2"/>
      <c r="M43"/>
      <c r="N43"/>
      <c r="O43"/>
      <c r="R43" s="59">
        <v>2015</v>
      </c>
      <c r="S43" s="59">
        <v>1.05</v>
      </c>
      <c r="T43" s="43">
        <f>PRODUCT($S$14:S43)</f>
        <v>1.9458317080647203</v>
      </c>
      <c r="U43" s="59" t="s">
        <v>381</v>
      </c>
      <c r="V43" s="351">
        <f>BC52</f>
        <v>1.1858597560975612</v>
      </c>
      <c r="AT43" s="282"/>
      <c r="BC43">
        <v>0.5</v>
      </c>
      <c r="BD43">
        <v>0.5</v>
      </c>
    </row>
    <row r="44" spans="1:61" s="59" customFormat="1" x14ac:dyDescent="0.2">
      <c r="A44" s="50" t="str">
        <f t="shared" si="4"/>
        <v>2013</v>
      </c>
      <c r="B44" s="45"/>
      <c r="C44" s="100">
        <f>'[3]TICO 2'!O58</f>
        <v>107104250</v>
      </c>
      <c r="D44" s="101">
        <f>'[3]TWIA 5'!J283</f>
        <v>1.3075493593415155</v>
      </c>
      <c r="E44" s="120">
        <f>ROUND(C44*D44,0)</f>
        <v>140044093</v>
      </c>
      <c r="F44" s="100">
        <f>'[3]TICO 2'!U58</f>
        <v>54343702</v>
      </c>
      <c r="G44" s="53">
        <f t="shared" si="8"/>
        <v>0.38800000000000001</v>
      </c>
      <c r="I44"/>
      <c r="J44" s="2"/>
      <c r="M44"/>
      <c r="N44"/>
      <c r="O44"/>
      <c r="R44" s="59">
        <v>2016</v>
      </c>
      <c r="S44" s="59">
        <v>1.05</v>
      </c>
      <c r="T44" s="43">
        <f>PRODUCT($S$14:S44)</f>
        <v>2.0431232934679562</v>
      </c>
      <c r="U44" s="59" t="s">
        <v>382</v>
      </c>
      <c r="V44" s="351">
        <f>BD52</f>
        <v>1.1293902439024393</v>
      </c>
      <c r="AT44" s="282"/>
      <c r="BD44">
        <v>0.5</v>
      </c>
      <c r="BE44">
        <v>0.5</v>
      </c>
    </row>
    <row r="45" spans="1:61" s="59" customFormat="1" x14ac:dyDescent="0.2">
      <c r="A45" s="50" t="str">
        <f t="shared" si="4"/>
        <v>2014</v>
      </c>
      <c r="B45" s="45"/>
      <c r="C45" s="100">
        <f>'[3]TICO 2'!O59</f>
        <v>114784032</v>
      </c>
      <c r="D45" s="101">
        <f>'[3]TWIA 5'!J284</f>
        <v>1.2455465141622073</v>
      </c>
      <c r="E45" s="120">
        <f t="shared" si="7"/>
        <v>142968851</v>
      </c>
      <c r="F45" s="100">
        <f>'[3]TICO 2'!U59</f>
        <v>691708</v>
      </c>
      <c r="G45" s="53">
        <f t="shared" si="8"/>
        <v>5.0000000000000001E-3</v>
      </c>
      <c r="I45"/>
      <c r="J45" s="2"/>
      <c r="M45"/>
      <c r="N45"/>
      <c r="O45"/>
      <c r="R45" s="59">
        <v>2017</v>
      </c>
      <c r="S45" s="59">
        <v>1</v>
      </c>
      <c r="T45" s="43">
        <f>PRODUCT($S$14:S45)</f>
        <v>2.0431232934679562</v>
      </c>
      <c r="U45" s="59" t="s">
        <v>383</v>
      </c>
      <c r="V45" s="351">
        <f>BE52</f>
        <v>1.1025000000000003</v>
      </c>
      <c r="AT45" s="282"/>
      <c r="BE45">
        <v>0.5</v>
      </c>
      <c r="BF45">
        <v>0.5</v>
      </c>
    </row>
    <row r="46" spans="1:61" x14ac:dyDescent="0.2">
      <c r="A46" s="50" t="str">
        <f t="shared" si="4"/>
        <v>2015</v>
      </c>
      <c r="B46" s="45"/>
      <c r="C46" s="100">
        <f>'[3]TICO 2'!O60</f>
        <v>122782019</v>
      </c>
      <c r="D46" s="101">
        <f>'[3]TWIA 5'!J285</f>
        <v>1.1864644900727379</v>
      </c>
      <c r="E46" s="120">
        <f t="shared" si="7"/>
        <v>145676506</v>
      </c>
      <c r="F46" s="100">
        <f>'[3]TICO 2'!U60</f>
        <v>17666484</v>
      </c>
      <c r="G46" s="53">
        <f t="shared" si="8"/>
        <v>0.121</v>
      </c>
      <c r="J46" s="2"/>
      <c r="N46" s="19"/>
      <c r="R46">
        <v>2018</v>
      </c>
      <c r="S46">
        <v>1.05</v>
      </c>
      <c r="T46" s="43">
        <f>PRODUCT($S$14:S46)</f>
        <v>2.1452794581413541</v>
      </c>
      <c r="U46" s="59" t="s">
        <v>384</v>
      </c>
      <c r="V46" s="351">
        <f>BF52</f>
        <v>1.0756097560975613</v>
      </c>
      <c r="BF46">
        <v>0.5</v>
      </c>
      <c r="BG46">
        <v>0.5</v>
      </c>
    </row>
    <row r="47" spans="1:61" s="59" customFormat="1" x14ac:dyDescent="0.2">
      <c r="A47" s="50" t="str">
        <f t="shared" si="4"/>
        <v>2016</v>
      </c>
      <c r="B47" s="45"/>
      <c r="C47" s="100">
        <f>'[3]TICO 2'!O61</f>
        <v>127007324</v>
      </c>
      <c r="D47" s="101">
        <f>'[3]TWIA 5'!J286</f>
        <v>1.1303877408726286</v>
      </c>
      <c r="E47" s="120">
        <f t="shared" si="7"/>
        <v>143567522</v>
      </c>
      <c r="F47" s="100">
        <f>'[3]TICO 2'!U61</f>
        <v>11307700</v>
      </c>
      <c r="G47" s="53">
        <f t="shared" si="8"/>
        <v>7.9000000000000001E-2</v>
      </c>
      <c r="H47" s="50"/>
      <c r="I47"/>
      <c r="J47" s="2"/>
      <c r="M47"/>
      <c r="N47"/>
      <c r="O47"/>
      <c r="R47" s="59">
        <v>2019</v>
      </c>
      <c r="S47" s="59">
        <v>1</v>
      </c>
      <c r="T47" s="43">
        <f>PRODUCT($S$14:S47)</f>
        <v>2.1452794581413541</v>
      </c>
      <c r="U47" s="59" t="s">
        <v>385</v>
      </c>
      <c r="V47" s="350">
        <f>BG52</f>
        <v>1.05</v>
      </c>
      <c r="AT47" s="282"/>
      <c r="BG47">
        <v>0.5</v>
      </c>
      <c r="BH47" s="59">
        <v>0.5</v>
      </c>
    </row>
    <row r="48" spans="1:61" s="59" customFormat="1" x14ac:dyDescent="0.2">
      <c r="A48" s="50" t="str">
        <f t="shared" si="4"/>
        <v>2017</v>
      </c>
      <c r="B48" s="45"/>
      <c r="C48" s="100">
        <f>'[3]TICO 2'!O62</f>
        <v>126002753</v>
      </c>
      <c r="D48" s="101">
        <f>'[3]TWIA 5'!J287</f>
        <v>1.1025000000000003</v>
      </c>
      <c r="E48" s="120">
        <f>ROUND(C48*D48,0)</f>
        <v>138918035</v>
      </c>
      <c r="F48" s="100">
        <f>'[3]TICO 2'!U62</f>
        <v>41202051</v>
      </c>
      <c r="G48" s="53">
        <f t="shared" si="8"/>
        <v>0.29699999999999999</v>
      </c>
      <c r="H48" s="50"/>
      <c r="I48"/>
      <c r="J48" s="2"/>
      <c r="M48"/>
      <c r="N48"/>
      <c r="O48"/>
      <c r="R48" s="59">
        <v>2020</v>
      </c>
      <c r="S48" s="59">
        <v>1</v>
      </c>
      <c r="T48" s="43">
        <f>PRODUCT($S$14:S48)</f>
        <v>2.1452794581413541</v>
      </c>
      <c r="U48" s="59" t="s">
        <v>423</v>
      </c>
      <c r="V48" s="350">
        <f>BH52</f>
        <v>1.05</v>
      </c>
      <c r="AT48" s="282"/>
      <c r="BG48"/>
      <c r="BH48" s="59">
        <v>0.5</v>
      </c>
      <c r="BI48" s="59">
        <v>0.5</v>
      </c>
    </row>
    <row r="49" spans="1:62" s="59" customFormat="1" x14ac:dyDescent="0.2">
      <c r="A49" s="50" t="str">
        <f t="shared" si="4"/>
        <v>2018</v>
      </c>
      <c r="B49" s="45"/>
      <c r="C49" s="100">
        <f>'[3]TICO 2'!O63</f>
        <v>122707170</v>
      </c>
      <c r="D49" s="101">
        <f>'[3]TWIA 5'!J288</f>
        <v>1.0768211446107889</v>
      </c>
      <c r="E49" s="120">
        <f>ROUND(C49*D49,0)</f>
        <v>132133675</v>
      </c>
      <c r="F49" s="100">
        <f>'[3]TICO 2'!U63</f>
        <v>3173488</v>
      </c>
      <c r="G49" s="53">
        <f t="shared" si="8"/>
        <v>2.4E-2</v>
      </c>
      <c r="H49"/>
      <c r="I49"/>
      <c r="J49" s="2"/>
      <c r="M49"/>
      <c r="N49"/>
      <c r="O49"/>
      <c r="R49" s="59">
        <v>2021</v>
      </c>
      <c r="S49" s="59">
        <v>1</v>
      </c>
      <c r="T49" s="43">
        <f>PRODUCT($S$14:S49)</f>
        <v>2.1452794581413541</v>
      </c>
      <c r="U49" s="59" t="s">
        <v>457</v>
      </c>
      <c r="V49" s="350">
        <f>BI52</f>
        <v>1.05</v>
      </c>
      <c r="AT49" s="282"/>
      <c r="BG49"/>
      <c r="BI49" s="59">
        <v>0.5</v>
      </c>
      <c r="BJ49" s="59">
        <v>0.5</v>
      </c>
    </row>
    <row r="50" spans="1:62" s="59" customFormat="1" x14ac:dyDescent="0.2">
      <c r="A50" s="50" t="str">
        <f t="shared" si="4"/>
        <v>2019</v>
      </c>
      <c r="B50" s="45"/>
      <c r="C50" s="100">
        <f>'[3]TICO 2'!O64</f>
        <v>121980686</v>
      </c>
      <c r="D50" s="101">
        <f>'[3]TWIA 5'!J289</f>
        <v>1.0499999999999947</v>
      </c>
      <c r="E50" s="120">
        <f>ROUND(C50*D50,0)</f>
        <v>128079720</v>
      </c>
      <c r="F50" s="100">
        <f>'[3]TICO 2'!U64</f>
        <v>6575515</v>
      </c>
      <c r="G50" s="53">
        <f t="shared" si="8"/>
        <v>5.0999999999999997E-2</v>
      </c>
      <c r="H50"/>
      <c r="I50"/>
      <c r="J50" s="2"/>
      <c r="M50"/>
      <c r="N50"/>
      <c r="O50"/>
      <c r="R50" s="59">
        <v>2022</v>
      </c>
      <c r="S50" s="59">
        <v>1.05</v>
      </c>
      <c r="T50" s="43">
        <f>PRODUCT($S$14:S50)</f>
        <v>2.252543431048422</v>
      </c>
      <c r="U50" s="59" t="s">
        <v>481</v>
      </c>
      <c r="V50" s="350">
        <f>BJ52</f>
        <v>1.0243902439024393</v>
      </c>
      <c r="BJ50" s="59">
        <v>0.5</v>
      </c>
    </row>
    <row r="51" spans="1:62" s="59" customFormat="1" x14ac:dyDescent="0.2">
      <c r="A51" s="50" t="str">
        <f t="shared" si="4"/>
        <v>2020</v>
      </c>
      <c r="B51" s="45"/>
      <c r="C51" s="100">
        <f>'[3]TICO 2'!O65</f>
        <v>121816746</v>
      </c>
      <c r="D51" s="101">
        <f>'[3]TWIA 5'!J290</f>
        <v>1.0500000000000036</v>
      </c>
      <c r="E51" s="120">
        <f>ROUND(C51*D51,0)</f>
        <v>127907583</v>
      </c>
      <c r="F51" s="100">
        <f>'[3]TICO 2'!U65</f>
        <v>7014707</v>
      </c>
      <c r="G51" s="53">
        <f t="shared" si="8"/>
        <v>5.5E-2</v>
      </c>
      <c r="H51"/>
      <c r="I51"/>
      <c r="J51" s="2"/>
      <c r="M51"/>
      <c r="N51"/>
      <c r="O51"/>
      <c r="W51" s="59">
        <f>SUMPRODUCT($T$14:$T$50,W14:W50)</f>
        <v>1</v>
      </c>
      <c r="X51" s="59">
        <f t="shared" ref="X51:BJ51" si="9">SUMPRODUCT($T$14:$T$50,X14:X50)</f>
        <v>1</v>
      </c>
      <c r="Y51" s="59">
        <f t="shared" si="9"/>
        <v>1</v>
      </c>
      <c r="Z51" s="59">
        <f t="shared" si="9"/>
        <v>1</v>
      </c>
      <c r="AA51" s="59">
        <f t="shared" si="9"/>
        <v>1</v>
      </c>
      <c r="AB51" s="59">
        <f t="shared" si="9"/>
        <v>0.97299999999999998</v>
      </c>
      <c r="AC51" s="59">
        <f t="shared" si="9"/>
        <v>0.94599999999999995</v>
      </c>
      <c r="AD51" s="59">
        <f t="shared" si="9"/>
        <v>0.96066299999999993</v>
      </c>
      <c r="AE51" s="59">
        <f t="shared" si="9"/>
        <v>1.0972417499999998</v>
      </c>
      <c r="AF51" s="59">
        <f t="shared" si="9"/>
        <v>0.88998497499999996</v>
      </c>
      <c r="AG51" s="59">
        <f t="shared" si="9"/>
        <v>0.64493431749999997</v>
      </c>
      <c r="AH51" s="59">
        <f t="shared" si="9"/>
        <v>0.72905618499999991</v>
      </c>
      <c r="AI51" s="59">
        <f t="shared" si="9"/>
        <v>0.82018820812499993</v>
      </c>
      <c r="AJ51" s="59">
        <f t="shared" si="9"/>
        <v>0.91132023124999995</v>
      </c>
      <c r="AK51" s="59">
        <f t="shared" si="9"/>
        <v>0.91132023124999995</v>
      </c>
      <c r="AL51" s="59">
        <f t="shared" si="9"/>
        <v>0.91223155148125001</v>
      </c>
      <c r="AM51" s="59">
        <f t="shared" si="9"/>
        <v>0.87022515674201251</v>
      </c>
      <c r="AN51" s="59">
        <f t="shared" si="9"/>
        <v>0.86329531548858629</v>
      </c>
      <c r="AO51" s="59">
        <f t="shared" si="9"/>
        <v>0.9824668842071701</v>
      </c>
      <c r="AP51" s="59">
        <f t="shared" si="9"/>
        <v>1.0656505792086925</v>
      </c>
      <c r="AQ51" s="59">
        <f t="shared" si="9"/>
        <v>1.0656505792086925</v>
      </c>
      <c r="AR51" s="59">
        <f t="shared" si="9"/>
        <v>1.11680180701071</v>
      </c>
      <c r="AS51" s="59">
        <f t="shared" si="9"/>
        <v>1.1679530348127272</v>
      </c>
      <c r="AT51" s="59">
        <f t="shared" si="9"/>
        <v>1.1699645094837936</v>
      </c>
      <c r="AU51" s="59">
        <f t="shared" si="9"/>
        <v>1.2214010313643868</v>
      </c>
      <c r="AV51" s="59">
        <f t="shared" si="9"/>
        <v>1.2979616198794097</v>
      </c>
      <c r="AW51" s="59">
        <f t="shared" si="9"/>
        <v>1.4274232121993267</v>
      </c>
      <c r="AX51" s="59">
        <f t="shared" si="9"/>
        <v>1.5240302408733188</v>
      </c>
      <c r="AY51" s="59">
        <f t="shared" si="9"/>
        <v>1.5627253102830414</v>
      </c>
      <c r="AZ51" s="59">
        <f t="shared" si="9"/>
        <v>1.6408615757971936</v>
      </c>
      <c r="BA51" s="59">
        <f t="shared" si="9"/>
        <v>1.7229046545870537</v>
      </c>
      <c r="BB51" s="59">
        <f t="shared" si="9"/>
        <v>1.8090498873164065</v>
      </c>
      <c r="BC51" s="59">
        <f t="shared" si="9"/>
        <v>1.8995023816822267</v>
      </c>
      <c r="BD51" s="59">
        <f t="shared" si="9"/>
        <v>1.9944775007663382</v>
      </c>
      <c r="BE51" s="59">
        <f t="shared" si="9"/>
        <v>2.0431232934679562</v>
      </c>
      <c r="BF51" s="59">
        <f t="shared" si="9"/>
        <v>2.0942013758046549</v>
      </c>
      <c r="BG51" s="59">
        <f t="shared" si="9"/>
        <v>2.1452794581413541</v>
      </c>
      <c r="BH51" s="59">
        <f t="shared" si="9"/>
        <v>2.1452794581413541</v>
      </c>
      <c r="BI51" s="59">
        <f t="shared" si="9"/>
        <v>2.1452794581413541</v>
      </c>
      <c r="BJ51" s="59">
        <f t="shared" si="9"/>
        <v>2.1989114445948879</v>
      </c>
    </row>
    <row r="52" spans="1:62" s="59" customFormat="1" x14ac:dyDescent="0.2">
      <c r="A52" s="51">
        <v>2021</v>
      </c>
      <c r="B52" s="45"/>
      <c r="C52" s="100">
        <f>'[3]TICO 2'!O66</f>
        <v>126003604</v>
      </c>
      <c r="D52" s="101">
        <f>'[3]TWIA 5'!J291</f>
        <v>1.0500000000000056</v>
      </c>
      <c r="E52" s="120">
        <f>ROUND(C52*D52,0)</f>
        <v>132303784</v>
      </c>
      <c r="F52" s="100">
        <f>'[3]TICO 2'!U66</f>
        <v>26615728</v>
      </c>
      <c r="G52" s="53">
        <f t="shared" si="8"/>
        <v>0.20100000000000001</v>
      </c>
      <c r="H52"/>
      <c r="I52"/>
      <c r="J52" s="2"/>
      <c r="M52"/>
      <c r="N52"/>
      <c r="O52"/>
      <c r="W52" s="59">
        <f>$T$50/W51</f>
        <v>2.252543431048422</v>
      </c>
      <c r="X52" s="59">
        <f t="shared" ref="X52:BJ52" si="10">$T$50/X51</f>
        <v>2.252543431048422</v>
      </c>
      <c r="Y52" s="59">
        <f t="shared" si="10"/>
        <v>2.252543431048422</v>
      </c>
      <c r="Z52" s="59">
        <f t="shared" si="10"/>
        <v>2.252543431048422</v>
      </c>
      <c r="AA52" s="59">
        <f t="shared" si="10"/>
        <v>2.252543431048422</v>
      </c>
      <c r="AB52" s="59">
        <f t="shared" si="10"/>
        <v>2.3150497749726844</v>
      </c>
      <c r="AC52" s="59">
        <f t="shared" si="10"/>
        <v>2.3811241343006575</v>
      </c>
      <c r="AD52" s="59">
        <f t="shared" si="10"/>
        <v>2.3447800436244783</v>
      </c>
      <c r="AE52" s="59">
        <f t="shared" si="10"/>
        <v>2.0529144384529867</v>
      </c>
      <c r="AF52" s="59">
        <f t="shared" si="10"/>
        <v>2.5309904035721749</v>
      </c>
      <c r="AG52" s="59">
        <f t="shared" si="10"/>
        <v>3.4926710673113193</v>
      </c>
      <c r="AH52" s="59">
        <f t="shared" si="10"/>
        <v>3.0896705595446288</v>
      </c>
      <c r="AI52" s="59">
        <f t="shared" si="10"/>
        <v>2.7463738307063363</v>
      </c>
      <c r="AJ52" s="59">
        <f t="shared" si="10"/>
        <v>2.4717364476357027</v>
      </c>
      <c r="AK52" s="59">
        <f t="shared" si="10"/>
        <v>2.4717364476357027</v>
      </c>
      <c r="AL52" s="59">
        <f t="shared" si="10"/>
        <v>2.4692671804552475</v>
      </c>
      <c r="AM52" s="59">
        <f t="shared" si="10"/>
        <v>2.5884604847343118</v>
      </c>
      <c r="AN52" s="59">
        <f t="shared" si="10"/>
        <v>2.6092385660329733</v>
      </c>
      <c r="AO52" s="59">
        <f t="shared" si="10"/>
        <v>2.2927423481211551</v>
      </c>
      <c r="AP52" s="59">
        <f t="shared" si="10"/>
        <v>2.1137730087108539</v>
      </c>
      <c r="AQ52" s="59">
        <f t="shared" si="10"/>
        <v>2.1137730087108539</v>
      </c>
      <c r="AR52" s="59">
        <f t="shared" si="10"/>
        <v>2.0169589777775321</v>
      </c>
      <c r="AS52" s="59">
        <f t="shared" si="10"/>
        <v>1.9286250079478591</v>
      </c>
      <c r="AT52" s="59">
        <f t="shared" si="10"/>
        <v>1.9253091976629948</v>
      </c>
      <c r="AU52" s="59">
        <f t="shared" si="10"/>
        <v>1.8442291869789729</v>
      </c>
      <c r="AV52" s="59">
        <f t="shared" si="10"/>
        <v>1.7354468703455963</v>
      </c>
      <c r="AW52" s="59">
        <f t="shared" si="10"/>
        <v>1.5780487607300271</v>
      </c>
      <c r="AX52" s="59">
        <f t="shared" si="10"/>
        <v>1.4780175423275337</v>
      </c>
      <c r="AY52" s="59">
        <f t="shared" si="10"/>
        <v>1.4414199451600618</v>
      </c>
      <c r="AZ52" s="59">
        <f t="shared" si="10"/>
        <v>1.3727809001524396</v>
      </c>
      <c r="BA52" s="59">
        <f t="shared" si="10"/>
        <v>1.3074103810975612</v>
      </c>
      <c r="BB52" s="59">
        <f t="shared" si="10"/>
        <v>1.2451527439024392</v>
      </c>
      <c r="BC52" s="59">
        <f t="shared" si="10"/>
        <v>1.1858597560975612</v>
      </c>
      <c r="BD52" s="59">
        <f t="shared" si="10"/>
        <v>1.1293902439024393</v>
      </c>
      <c r="BE52" s="59">
        <f t="shared" si="10"/>
        <v>1.1025000000000003</v>
      </c>
      <c r="BF52" s="59">
        <f t="shared" si="10"/>
        <v>1.0756097560975613</v>
      </c>
      <c r="BG52" s="59">
        <f t="shared" si="10"/>
        <v>1.05</v>
      </c>
      <c r="BH52" s="59">
        <f t="shared" si="10"/>
        <v>1.05</v>
      </c>
      <c r="BI52" s="59">
        <f t="shared" si="10"/>
        <v>1.05</v>
      </c>
      <c r="BJ52" s="59">
        <f t="shared" si="10"/>
        <v>1.0243902439024393</v>
      </c>
    </row>
    <row r="53" spans="1:62" x14ac:dyDescent="0.2">
      <c r="A53" s="308"/>
      <c r="B53" s="307"/>
      <c r="C53" s="309"/>
      <c r="D53" s="310"/>
      <c r="E53" s="311"/>
      <c r="F53" s="309"/>
      <c r="G53" s="312"/>
      <c r="J53" s="2"/>
      <c r="R53" s="59"/>
      <c r="S53" s="59"/>
      <c r="T53" s="59"/>
      <c r="U53" s="59"/>
      <c r="V53" s="59"/>
      <c r="W53" s="59"/>
      <c r="X53" s="59"/>
      <c r="Y53" s="59"/>
      <c r="Z53" s="59"/>
      <c r="AA53" s="59"/>
      <c r="AB53" s="59"/>
      <c r="AC53" s="59"/>
      <c r="AD53" s="59"/>
      <c r="AE53" s="59"/>
      <c r="AF53" s="59"/>
      <c r="AG53" s="59"/>
      <c r="AH53" s="59"/>
      <c r="AI53" s="59"/>
      <c r="AJ53" s="59"/>
      <c r="AK53" s="59"/>
      <c r="AL53" s="59"/>
      <c r="AM53" s="59"/>
      <c r="AN53" s="59"/>
      <c r="AO53" s="59"/>
      <c r="AP53" s="59"/>
      <c r="AQ53" s="59"/>
      <c r="AR53" s="59"/>
      <c r="AS53" s="59"/>
      <c r="AU53" s="59"/>
      <c r="AV53" s="59"/>
      <c r="AW53" s="59"/>
      <c r="AX53" s="59"/>
      <c r="AY53" s="59"/>
      <c r="AZ53" s="59"/>
      <c r="BA53" s="59"/>
      <c r="BB53" s="59"/>
      <c r="BC53" s="59"/>
      <c r="BD53" s="59"/>
      <c r="BE53" s="59"/>
      <c r="BF53" s="59"/>
      <c r="BG53" s="59"/>
      <c r="BH53" s="59"/>
      <c r="BI53" s="59"/>
      <c r="BJ53" s="59"/>
    </row>
    <row r="54" spans="1:62" x14ac:dyDescent="0.2">
      <c r="A54" s="59" t="s">
        <v>9</v>
      </c>
      <c r="B54" s="59"/>
      <c r="C54" s="100">
        <f>SUM(C14:C52)</f>
        <v>1919123491.2476728</v>
      </c>
      <c r="D54" s="204"/>
      <c r="E54" s="120">
        <f>SUM(E14:E52)</f>
        <v>2746421289</v>
      </c>
      <c r="F54" s="100">
        <f>SUM(F14:F52)</f>
        <v>1237320845.8800001</v>
      </c>
      <c r="G54" s="53">
        <f t="shared" ref="G54" si="11">ROUND(F54/E54,3)</f>
        <v>0.45100000000000001</v>
      </c>
      <c r="J54" s="2"/>
      <c r="K54" t="s">
        <v>217</v>
      </c>
      <c r="L54" t="s">
        <v>218</v>
      </c>
      <c r="M54" s="59"/>
      <c r="N54" s="59"/>
      <c r="O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U54" s="59"/>
      <c r="AV54" s="59"/>
      <c r="AW54" s="59"/>
      <c r="AX54" s="59"/>
      <c r="AY54" s="59"/>
      <c r="AZ54" s="59"/>
      <c r="BA54" s="59"/>
      <c r="BB54" s="59"/>
      <c r="BC54" s="59"/>
      <c r="BD54" s="59"/>
      <c r="BE54" s="59"/>
      <c r="BF54" s="59"/>
      <c r="BG54" s="59"/>
      <c r="BH54" s="59"/>
    </row>
    <row r="55" spans="1:62" s="59" customFormat="1" ht="10.5" thickBot="1" x14ac:dyDescent="0.25">
      <c r="A55" s="6"/>
      <c r="B55" s="6"/>
      <c r="C55" s="6"/>
      <c r="D55" s="6"/>
      <c r="E55" s="6"/>
      <c r="F55" s="6"/>
      <c r="G55" s="6"/>
      <c r="I55"/>
      <c r="J55" s="2"/>
      <c r="K55" s="82">
        <f>'[3]TICO 2'!$E$1</f>
        <v>44469</v>
      </c>
      <c r="L55" s="82">
        <f>'[3]TICO 2'!$E$2</f>
        <v>44561</v>
      </c>
      <c r="M55"/>
      <c r="N55"/>
      <c r="O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 s="282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</row>
    <row r="56" spans="1:62" s="59" customFormat="1" ht="10.5" thickTop="1" x14ac:dyDescent="0.2">
      <c r="A56"/>
      <c r="B56"/>
      <c r="C56"/>
      <c r="D56"/>
      <c r="E56"/>
      <c r="F56"/>
      <c r="G56"/>
      <c r="H56"/>
      <c r="I56"/>
      <c r="J56" s="2"/>
      <c r="M56"/>
      <c r="N56"/>
      <c r="O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 s="282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</row>
    <row r="57" spans="1:62" x14ac:dyDescent="0.2">
      <c r="A57" t="s">
        <v>17</v>
      </c>
      <c r="F57" s="45"/>
      <c r="J57" s="2"/>
      <c r="M57" s="59"/>
      <c r="N57" s="59"/>
      <c r="O57" s="59"/>
      <c r="R57" s="59"/>
      <c r="S57" s="59"/>
      <c r="T57" s="59"/>
      <c r="U57" s="59"/>
      <c r="V57" s="59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59"/>
      <c r="AI57" s="59"/>
      <c r="AJ57" s="59"/>
      <c r="AK57" s="59"/>
      <c r="AL57" s="59"/>
      <c r="AM57" s="59"/>
      <c r="AN57" s="59"/>
      <c r="AO57" s="59"/>
      <c r="AP57" s="59"/>
      <c r="AQ57" s="59"/>
      <c r="AR57" s="59"/>
      <c r="AS57" s="59"/>
      <c r="AU57" s="59"/>
      <c r="AV57" s="59"/>
      <c r="AW57" s="59"/>
      <c r="AX57" s="59"/>
      <c r="AY57" s="59"/>
      <c r="AZ57" s="59"/>
      <c r="BA57" s="59"/>
      <c r="BB57" s="59"/>
      <c r="BC57" s="59"/>
      <c r="BD57" s="59"/>
      <c r="BE57" s="59"/>
      <c r="BF57" s="59"/>
      <c r="BG57" s="59"/>
      <c r="BH57" s="59"/>
      <c r="BI57" s="59"/>
      <c r="BJ57" s="59"/>
    </row>
    <row r="58" spans="1:62" x14ac:dyDescent="0.2">
      <c r="A58" s="22" t="str">
        <f>C12&amp;" Provided by TDI.  Accident years ending "&amp;TEXT($K$55,"m/d/xx")&amp;" as of "&amp;TEXT($L$55,"m/d/yyyy")</f>
        <v>(2) Provided by TDI.  Accident years ending 9/30/xx as of 12/31/2021</v>
      </c>
      <c r="J58" s="2"/>
      <c r="M58" s="59"/>
      <c r="N58" s="59"/>
      <c r="O58" s="59"/>
      <c r="R58" s="59"/>
      <c r="S58" s="59"/>
      <c r="T58" s="59"/>
      <c r="U58" s="59"/>
      <c r="V58" s="59"/>
      <c r="W58" s="59"/>
      <c r="X58" s="59"/>
      <c r="Y58" s="59"/>
      <c r="Z58" s="59"/>
      <c r="AA58" s="59"/>
      <c r="AB58" s="59"/>
      <c r="AC58" s="59"/>
      <c r="AD58" s="59"/>
      <c r="AE58" s="59"/>
      <c r="AF58" s="59"/>
      <c r="AG58" s="59"/>
      <c r="AH58" s="59"/>
      <c r="AI58" s="59"/>
      <c r="AJ58" s="59"/>
      <c r="AK58" s="59"/>
      <c r="AL58" s="59"/>
      <c r="AM58" s="59"/>
      <c r="AN58" s="59"/>
      <c r="AO58" s="59"/>
      <c r="AP58" s="59"/>
      <c r="AQ58" s="59"/>
      <c r="AR58" s="59"/>
      <c r="AS58" s="59"/>
      <c r="AU58" s="59"/>
      <c r="AV58" s="59"/>
      <c r="AW58" s="59"/>
      <c r="AX58" s="59"/>
      <c r="AY58" s="59"/>
      <c r="AZ58" s="59"/>
      <c r="BA58" s="59"/>
      <c r="BB58" s="59"/>
      <c r="BC58" s="59"/>
      <c r="BD58" s="59"/>
      <c r="BE58" s="59"/>
      <c r="BF58" s="59"/>
      <c r="BG58" s="59"/>
      <c r="BH58" s="59"/>
    </row>
    <row r="59" spans="1:62" x14ac:dyDescent="0.2">
      <c r="A59" s="22" t="str">
        <f>D12&amp;" 1987 and prior judgementally selected; 1988 - "&amp;YEAR(L55)&amp;" based on TWIA on-level factors"</f>
        <v>(3) 1987 and prior judgementally selected; 1988 - 2021 based on TWIA on-level factors</v>
      </c>
      <c r="J59" s="2"/>
    </row>
    <row r="60" spans="1:62" x14ac:dyDescent="0.2">
      <c r="A60" s="22" t="str">
        <f>E12&amp;" = "&amp;C12&amp;" * "&amp;D12</f>
        <v>(4) = (2) * (3)</v>
      </c>
      <c r="J60" s="2"/>
    </row>
    <row r="61" spans="1:62" x14ac:dyDescent="0.2">
      <c r="A61" s="22" t="str">
        <f>F12&amp;" Provided by TDI. Accidn't yrs ending "&amp;TEXT($K$55,"m/d/xx")&amp;" as of "&amp;TEXT($L$55,"m/d/yyyy")&amp;"; "&amp;" 2008 IKE incurred loss was adjusted down by $206,858,309"</f>
        <v>(5) Provided by TDI. Accidn't yrs ending 9/30/xx as of 12/31/2021;  2008 IKE incurred loss was adjusted down by $206,858,309</v>
      </c>
      <c r="B61" s="59"/>
      <c r="C61" s="59"/>
      <c r="D61" s="59"/>
      <c r="E61" s="59"/>
      <c r="F61" s="59"/>
      <c r="J61" s="2"/>
      <c r="K61" s="43"/>
    </row>
    <row r="62" spans="1:62" x14ac:dyDescent="0.2">
      <c r="A62" t="s">
        <v>336</v>
      </c>
      <c r="J62" s="2"/>
      <c r="K62" s="43"/>
    </row>
    <row r="63" spans="1:62" s="59" customFormat="1" ht="10.5" thickBot="1" x14ac:dyDescent="0.25">
      <c r="A63" s="22" t="str">
        <f>G12&amp;" = "&amp;F12&amp;" / "&amp;E12</f>
        <v>(6) = (5) / (4)</v>
      </c>
      <c r="B63" s="22"/>
      <c r="C63"/>
      <c r="D63" s="60"/>
      <c r="E63" s="60"/>
      <c r="F63" s="60"/>
      <c r="G63" s="23"/>
      <c r="H63"/>
      <c r="I63"/>
      <c r="J63" s="2"/>
      <c r="M63"/>
      <c r="N63"/>
      <c r="O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 s="282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</row>
    <row r="64" spans="1:62" ht="10.5" thickBot="1" x14ac:dyDescent="0.25">
      <c r="A64" s="4"/>
      <c r="B64" s="5"/>
      <c r="C64" s="5"/>
      <c r="D64" s="5"/>
      <c r="E64" s="5"/>
      <c r="F64" s="5"/>
      <c r="G64" s="5"/>
      <c r="H64" s="5"/>
      <c r="I64" s="5"/>
      <c r="J64" s="3"/>
      <c r="BI64" s="59"/>
      <c r="BJ64" s="59"/>
    </row>
    <row r="65" spans="18:60" x14ac:dyDescent="0.2">
      <c r="R65" s="59"/>
      <c r="S65" s="59"/>
      <c r="T65" s="59"/>
      <c r="U65" s="59"/>
      <c r="V65" s="59"/>
      <c r="W65" s="59"/>
      <c r="X65" s="59"/>
      <c r="Y65" s="59"/>
      <c r="Z65" s="59"/>
      <c r="AA65" s="59"/>
      <c r="AB65" s="59"/>
      <c r="AC65" s="59"/>
      <c r="AD65" s="59"/>
      <c r="AE65" s="59"/>
      <c r="AF65" s="59"/>
      <c r="AG65" s="59"/>
      <c r="AH65" s="59"/>
      <c r="AI65" s="59"/>
      <c r="AJ65" s="59"/>
      <c r="AK65" s="59"/>
      <c r="AL65" s="59"/>
      <c r="AM65" s="59"/>
      <c r="AN65" s="59"/>
      <c r="AO65" s="59"/>
      <c r="AP65" s="59"/>
      <c r="AQ65" s="59"/>
      <c r="AR65" s="59"/>
      <c r="AS65" s="59"/>
      <c r="AU65" s="59"/>
      <c r="AV65" s="59"/>
      <c r="AW65" s="59"/>
      <c r="AX65" s="59"/>
      <c r="AY65" s="59"/>
      <c r="AZ65" s="59"/>
      <c r="BA65" s="59"/>
      <c r="BB65" s="59"/>
      <c r="BC65" s="59"/>
      <c r="BD65" s="59"/>
      <c r="BE65" s="59"/>
      <c r="BF65" s="59"/>
      <c r="BG65" s="59"/>
      <c r="BH65" s="59"/>
    </row>
  </sheetData>
  <phoneticPr fontId="0" type="noConversion"/>
  <pageMargins left="0.5" right="0.5" top="0.5" bottom="0.5" header="0.5" footer="0.5"/>
  <pageSetup orientation="portrait" blackAndWhite="1" r:id="rId1"/>
  <headerFooter alignWithMargins="0"/>
  <legacy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1">
    <tabColor rgb="FF92D050"/>
  </sheetPr>
  <dimension ref="A1:O65"/>
  <sheetViews>
    <sheetView showGridLines="0" topLeftCell="A49" zoomScaleNormal="100" workbookViewId="0">
      <selection activeCell="C30" sqref="C30"/>
    </sheetView>
  </sheetViews>
  <sheetFormatPr defaultColWidth="11.33203125" defaultRowHeight="10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</cols>
  <sheetData>
    <row r="1" spans="1:15" ht="10.5" x14ac:dyDescent="0.25">
      <c r="A1" s="8" t="str">
        <f>'1'!$A$1</f>
        <v>Texas Windstorm Insurance Association</v>
      </c>
      <c r="B1" s="12"/>
      <c r="I1" s="7" t="s">
        <v>106</v>
      </c>
      <c r="J1" s="1"/>
      <c r="N1" t="s">
        <v>428</v>
      </c>
      <c r="O1" t="s">
        <v>452</v>
      </c>
    </row>
    <row r="2" spans="1:15" ht="10.5" x14ac:dyDescent="0.25">
      <c r="A2" s="8" t="str">
        <f>'1'!$A$2</f>
        <v>Residential Property - Wind &amp; Hail</v>
      </c>
      <c r="B2" s="12"/>
      <c r="I2" s="7" t="s">
        <v>94</v>
      </c>
      <c r="J2" s="2"/>
      <c r="N2" t="s">
        <v>428</v>
      </c>
      <c r="O2" t="s">
        <v>458</v>
      </c>
    </row>
    <row r="3" spans="1:15" ht="10.5" x14ac:dyDescent="0.25">
      <c r="A3" s="8" t="str">
        <f>'1'!$A$3</f>
        <v>Rate Level Review</v>
      </c>
      <c r="B3" s="12"/>
      <c r="J3" s="2"/>
      <c r="N3" t="s">
        <v>428</v>
      </c>
      <c r="O3" t="s">
        <v>459</v>
      </c>
    </row>
    <row r="4" spans="1:15" x14ac:dyDescent="0.2">
      <c r="A4" t="s">
        <v>107</v>
      </c>
      <c r="B4" s="12"/>
      <c r="J4" s="2"/>
    </row>
    <row r="5" spans="1:15" x14ac:dyDescent="0.2">
      <c r="A5" t="s">
        <v>45</v>
      </c>
      <c r="B5" s="12"/>
      <c r="J5" s="2"/>
    </row>
    <row r="6" spans="1:15" x14ac:dyDescent="0.2">
      <c r="J6" s="2"/>
    </row>
    <row r="7" spans="1:15" ht="10.5" thickBot="1" x14ac:dyDescent="0.25">
      <c r="A7" s="6"/>
      <c r="B7" s="6"/>
      <c r="C7" s="6"/>
      <c r="D7" s="6"/>
      <c r="E7" s="6"/>
      <c r="F7" s="6"/>
      <c r="G7" s="6"/>
      <c r="J7" s="2"/>
    </row>
    <row r="8" spans="1:15" ht="10.5" thickTop="1" x14ac:dyDescent="0.2">
      <c r="J8" s="2"/>
    </row>
    <row r="9" spans="1:15" x14ac:dyDescent="0.2">
      <c r="C9" s="22"/>
      <c r="D9" t="s">
        <v>37</v>
      </c>
      <c r="E9" t="s">
        <v>44</v>
      </c>
      <c r="J9" s="2"/>
      <c r="K9" s="27"/>
    </row>
    <row r="10" spans="1:15" x14ac:dyDescent="0.2">
      <c r="A10" t="s">
        <v>53</v>
      </c>
      <c r="C10" t="s">
        <v>126</v>
      </c>
      <c r="D10" t="s">
        <v>136</v>
      </c>
      <c r="E10" t="s">
        <v>42</v>
      </c>
      <c r="F10" t="s">
        <v>87</v>
      </c>
      <c r="G10" t="s">
        <v>87</v>
      </c>
      <c r="J10" s="2"/>
      <c r="K10" s="22"/>
    </row>
    <row r="11" spans="1:15" x14ac:dyDescent="0.2">
      <c r="A11" s="9" t="s">
        <v>54</v>
      </c>
      <c r="B11" s="9"/>
      <c r="C11" s="9" t="s">
        <v>127</v>
      </c>
      <c r="D11" s="9" t="s">
        <v>137</v>
      </c>
      <c r="E11" s="9" t="s">
        <v>43</v>
      </c>
      <c r="F11" s="9" t="s">
        <v>41</v>
      </c>
      <c r="G11" s="9" t="s">
        <v>78</v>
      </c>
      <c r="J11" s="2"/>
      <c r="K11" s="52"/>
    </row>
    <row r="12" spans="1:15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J12" s="2"/>
    </row>
    <row r="13" spans="1:15" x14ac:dyDescent="0.2">
      <c r="J13" s="2"/>
    </row>
    <row r="14" spans="1:15" x14ac:dyDescent="0.2">
      <c r="A14" s="181">
        <v>1983</v>
      </c>
      <c r="C14" s="38">
        <v>2331938</v>
      </c>
      <c r="D14" s="101">
        <f>'6.4'!D14</f>
        <v>2.252543431048422</v>
      </c>
      <c r="E14" s="31">
        <f t="shared" ref="E14:E45" si="0">C14*D14</f>
        <v>5252791.6235121954</v>
      </c>
      <c r="F14" s="38">
        <v>377010</v>
      </c>
      <c r="G14" s="23">
        <f>F14/E14</f>
        <v>7.1773264013073157E-2</v>
      </c>
      <c r="J14" s="2"/>
    </row>
    <row r="15" spans="1:15" x14ac:dyDescent="0.2">
      <c r="A15" t="str">
        <f>TEXT(A14+1,"#")</f>
        <v>1984</v>
      </c>
      <c r="C15" s="38">
        <v>1632317</v>
      </c>
      <c r="D15" s="101">
        <f>'6.4'!D15</f>
        <v>2.252543431048422</v>
      </c>
      <c r="E15" s="31">
        <f t="shared" si="0"/>
        <v>3676864.9357386669</v>
      </c>
      <c r="F15" s="38">
        <v>249086</v>
      </c>
      <c r="G15" s="23">
        <f>F15/E15</f>
        <v>6.7744125594311408E-2</v>
      </c>
      <c r="J15" s="2"/>
    </row>
    <row r="16" spans="1:15" x14ac:dyDescent="0.2">
      <c r="A16" t="str">
        <f t="shared" ref="A16:A51" si="1">TEXT(A15+1,"#")</f>
        <v>1985</v>
      </c>
      <c r="C16" s="38">
        <v>2505564</v>
      </c>
      <c r="D16" s="101">
        <f>'6.4'!D16</f>
        <v>2.252543431048422</v>
      </c>
      <c r="E16" s="31">
        <f t="shared" si="0"/>
        <v>5643891.7292714082</v>
      </c>
      <c r="F16" s="38">
        <v>467721</v>
      </c>
      <c r="G16" s="23">
        <f>F16/E16</f>
        <v>8.2872071690216487E-2</v>
      </c>
      <c r="J16" s="2"/>
    </row>
    <row r="17" spans="1:10" x14ac:dyDescent="0.2">
      <c r="A17" t="str">
        <f t="shared" si="1"/>
        <v>1986</v>
      </c>
      <c r="C17" s="38">
        <v>2977992</v>
      </c>
      <c r="D17" s="101">
        <f>'6.4'!D17</f>
        <v>2.252543431048422</v>
      </c>
      <c r="E17" s="31">
        <f t="shared" si="0"/>
        <v>6708056.3173147524</v>
      </c>
      <c r="F17" s="38">
        <v>189449</v>
      </c>
      <c r="G17" s="23">
        <f t="shared" ref="G17:G47" si="2">ROUND(F17/E17,3)</f>
        <v>2.8000000000000001E-2</v>
      </c>
      <c r="J17" s="2"/>
    </row>
    <row r="18" spans="1:10" x14ac:dyDescent="0.2">
      <c r="A18" t="str">
        <f t="shared" si="1"/>
        <v>1987</v>
      </c>
      <c r="C18" s="38">
        <v>3639667</v>
      </c>
      <c r="D18" s="101">
        <f>'6.4'!D18</f>
        <v>2.252543431048422</v>
      </c>
      <c r="E18" s="31">
        <f t="shared" si="0"/>
        <v>8198507.9920537174</v>
      </c>
      <c r="F18" s="38">
        <v>335212</v>
      </c>
      <c r="G18" s="23">
        <f t="shared" si="2"/>
        <v>4.1000000000000002E-2</v>
      </c>
      <c r="J18" s="2"/>
    </row>
    <row r="19" spans="1:10" x14ac:dyDescent="0.2">
      <c r="A19" t="str">
        <f t="shared" si="1"/>
        <v>1988</v>
      </c>
      <c r="C19" s="207">
        <v>3971251</v>
      </c>
      <c r="D19" s="101">
        <f>'6.4'!D19</f>
        <v>2.3150497749726844</v>
      </c>
      <c r="E19" s="31">
        <f t="shared" si="0"/>
        <v>9193643.7339100484</v>
      </c>
      <c r="F19" s="207">
        <v>626491</v>
      </c>
      <c r="G19" s="23">
        <f t="shared" si="2"/>
        <v>6.8000000000000005E-2</v>
      </c>
      <c r="J19" s="2"/>
    </row>
    <row r="20" spans="1:10" x14ac:dyDescent="0.2">
      <c r="A20" t="str">
        <f t="shared" si="1"/>
        <v>1989</v>
      </c>
      <c r="C20" s="207">
        <v>3702536</v>
      </c>
      <c r="D20" s="101">
        <f>'6.4'!D20</f>
        <v>2.3811241343006575</v>
      </c>
      <c r="E20" s="31">
        <f t="shared" si="0"/>
        <v>8816197.8277170192</v>
      </c>
      <c r="F20" s="207">
        <v>550215</v>
      </c>
      <c r="G20" s="23">
        <f t="shared" si="2"/>
        <v>6.2E-2</v>
      </c>
      <c r="J20" s="2"/>
    </row>
    <row r="21" spans="1:10" x14ac:dyDescent="0.2">
      <c r="A21" t="str">
        <f t="shared" si="1"/>
        <v>1990</v>
      </c>
      <c r="C21" s="207">
        <v>3519306</v>
      </c>
      <c r="D21" s="101">
        <f>'6.4'!D21</f>
        <v>2.3447800436244783</v>
      </c>
      <c r="E21" s="31">
        <f t="shared" si="0"/>
        <v>8251998.4762078887</v>
      </c>
      <c r="F21" s="207">
        <v>955271</v>
      </c>
      <c r="G21" s="23">
        <f>ROUND(F21/E21,3)</f>
        <v>0.11600000000000001</v>
      </c>
      <c r="J21" s="2"/>
    </row>
    <row r="22" spans="1:10" x14ac:dyDescent="0.2">
      <c r="A22" t="str">
        <f t="shared" si="1"/>
        <v>1991</v>
      </c>
      <c r="C22" s="100">
        <f>'[3]TICO 2'!P36</f>
        <v>4065189.7500367444</v>
      </c>
      <c r="D22" s="101">
        <f>'6.4'!D22</f>
        <v>2.0529144384529867</v>
      </c>
      <c r="E22" s="31">
        <f t="shared" si="0"/>
        <v>8345486.7329015201</v>
      </c>
      <c r="F22" s="100">
        <f>'[3]TICO 2'!V36</f>
        <v>1367254.0699999901</v>
      </c>
      <c r="G22" s="23">
        <f t="shared" si="2"/>
        <v>0.16400000000000001</v>
      </c>
      <c r="J22" s="2"/>
    </row>
    <row r="23" spans="1:10" x14ac:dyDescent="0.2">
      <c r="A23" t="str">
        <f t="shared" si="1"/>
        <v>1992</v>
      </c>
      <c r="B23" s="22"/>
      <c r="C23" s="100">
        <f>'[3]TICO 2'!P37</f>
        <v>3907711.7768190652</v>
      </c>
      <c r="D23" s="101">
        <f>'6.4'!D23</f>
        <v>2.5309904035721749</v>
      </c>
      <c r="E23" s="31">
        <f t="shared" si="0"/>
        <v>9890381.0070550255</v>
      </c>
      <c r="F23" s="100">
        <f>'[3]TICO 2'!V37</f>
        <v>1170577.6100000001</v>
      </c>
      <c r="G23" s="23">
        <f t="shared" si="2"/>
        <v>0.11799999999999999</v>
      </c>
      <c r="J23" s="2"/>
    </row>
    <row r="24" spans="1:10" x14ac:dyDescent="0.2">
      <c r="A24" t="str">
        <f t="shared" si="1"/>
        <v>1993</v>
      </c>
      <c r="B24" s="22"/>
      <c r="C24" s="100">
        <f>'[3]TICO 2'!P38</f>
        <v>4552394.5717778523</v>
      </c>
      <c r="D24" s="101">
        <f>'6.4'!D24</f>
        <v>3.4926710673113193</v>
      </c>
      <c r="E24" s="31">
        <f t="shared" si="0"/>
        <v>15900016.807833608</v>
      </c>
      <c r="F24" s="100">
        <f>'[3]TICO 2'!V38</f>
        <v>1312776.429999999</v>
      </c>
      <c r="G24" s="23">
        <f t="shared" si="2"/>
        <v>8.3000000000000004E-2</v>
      </c>
      <c r="J24" s="2"/>
    </row>
    <row r="25" spans="1:10" x14ac:dyDescent="0.2">
      <c r="A25" t="str">
        <f t="shared" si="1"/>
        <v>1994</v>
      </c>
      <c r="B25" s="22"/>
      <c r="C25" s="100">
        <f>'[3]TICO 2'!P39</f>
        <v>5710806.31582803</v>
      </c>
      <c r="D25" s="101">
        <f>'6.4'!D25</f>
        <v>3.0896705595446288</v>
      </c>
      <c r="E25" s="31">
        <f t="shared" si="0"/>
        <v>17644510.145275388</v>
      </c>
      <c r="F25" s="100">
        <f>'[3]TICO 2'!V39</f>
        <v>856368.79999999795</v>
      </c>
      <c r="G25" s="23">
        <f t="shared" si="2"/>
        <v>4.9000000000000002E-2</v>
      </c>
      <c r="J25" s="2"/>
    </row>
    <row r="26" spans="1:10" x14ac:dyDescent="0.2">
      <c r="A26" t="str">
        <f t="shared" si="1"/>
        <v>1995</v>
      </c>
      <c r="C26" s="100">
        <f>'[3]TICO 2'!P40</f>
        <v>6908551.5027387999</v>
      </c>
      <c r="D26" s="101">
        <f>'6.4'!D26</f>
        <v>2.7463738307063363</v>
      </c>
      <c r="E26" s="31">
        <f t="shared" si="0"/>
        <v>18973465.055208776</v>
      </c>
      <c r="F26" s="100">
        <f>'[3]TICO 2'!V40</f>
        <v>1552987</v>
      </c>
      <c r="G26" s="23">
        <f t="shared" si="2"/>
        <v>8.2000000000000003E-2</v>
      </c>
      <c r="J26" s="2"/>
    </row>
    <row r="27" spans="1:10" x14ac:dyDescent="0.2">
      <c r="A27" t="str">
        <f t="shared" si="1"/>
        <v>1996</v>
      </c>
      <c r="C27" s="100">
        <f>'[3]TICO 2'!P41</f>
        <v>8568167.9449975695</v>
      </c>
      <c r="D27" s="101">
        <f>'6.4'!D27</f>
        <v>2.4717364476357027</v>
      </c>
      <c r="E27" s="31">
        <f t="shared" si="0"/>
        <v>21178252.99911439</v>
      </c>
      <c r="F27" s="100">
        <f>'[3]TICO 2'!V41</f>
        <v>1061115</v>
      </c>
      <c r="G27" s="23">
        <f t="shared" si="2"/>
        <v>0.05</v>
      </c>
      <c r="J27" s="2"/>
    </row>
    <row r="28" spans="1:10" x14ac:dyDescent="0.2">
      <c r="A28" t="str">
        <f t="shared" si="1"/>
        <v>1997</v>
      </c>
      <c r="C28" s="100">
        <f>'[3]TICO 2'!P42</f>
        <v>8425344.4375255406</v>
      </c>
      <c r="D28" s="101">
        <f>'6.4'!D28</f>
        <v>2.4717364476357027</v>
      </c>
      <c r="E28" s="31">
        <f t="shared" si="0"/>
        <v>20825230.930116609</v>
      </c>
      <c r="F28" s="100">
        <f>'[3]TICO 2'!V42</f>
        <v>882561</v>
      </c>
      <c r="G28" s="23">
        <f t="shared" si="2"/>
        <v>4.2000000000000003E-2</v>
      </c>
      <c r="J28" s="2"/>
    </row>
    <row r="29" spans="1:10" x14ac:dyDescent="0.2">
      <c r="A29" t="str">
        <f t="shared" si="1"/>
        <v>1998</v>
      </c>
      <c r="C29" s="100">
        <f>'[3]TICO 2'!P43</f>
        <v>8803621.2708639689</v>
      </c>
      <c r="D29" s="101">
        <f>'6.4'!D29</f>
        <v>2.4692671804552475</v>
      </c>
      <c r="E29" s="31">
        <f t="shared" si="0"/>
        <v>21738493.073302116</v>
      </c>
      <c r="F29" s="100">
        <f>'[3]TICO 2'!V43</f>
        <v>2289890</v>
      </c>
      <c r="G29" s="23">
        <f t="shared" si="2"/>
        <v>0.105</v>
      </c>
      <c r="J29" s="2"/>
    </row>
    <row r="30" spans="1:10" x14ac:dyDescent="0.2">
      <c r="A30" t="str">
        <f t="shared" si="1"/>
        <v>1999</v>
      </c>
      <c r="C30" s="100">
        <f>'[3]TICO 2'!P44</f>
        <v>8465255.5940993298</v>
      </c>
      <c r="D30" s="101">
        <f>'6.4'!D30</f>
        <v>2.5884604847343118</v>
      </c>
      <c r="E30" s="31">
        <f t="shared" si="0"/>
        <v>21911979.598502196</v>
      </c>
      <c r="F30" s="100">
        <f>'[3]TICO 2'!V44</f>
        <v>3778386</v>
      </c>
      <c r="G30" s="23">
        <f t="shared" si="2"/>
        <v>0.17199999999999999</v>
      </c>
      <c r="J30" s="2"/>
    </row>
    <row r="31" spans="1:10" x14ac:dyDescent="0.2">
      <c r="A31" t="str">
        <f t="shared" si="1"/>
        <v>2000</v>
      </c>
      <c r="C31" s="100">
        <f>'[3]TICO 2'!P45</f>
        <v>8437094.0914586708</v>
      </c>
      <c r="D31" s="101">
        <f>'6.4'!D31</f>
        <v>2.6092385660329733</v>
      </c>
      <c r="E31" s="31">
        <f t="shared" si="0"/>
        <v>22014391.288682893</v>
      </c>
      <c r="F31" s="100">
        <f>'[3]TICO 2'!V45</f>
        <v>485581</v>
      </c>
      <c r="G31" s="23">
        <f t="shared" si="2"/>
        <v>2.1999999999999999E-2</v>
      </c>
      <c r="J31" s="2"/>
    </row>
    <row r="32" spans="1:10" x14ac:dyDescent="0.2">
      <c r="A32" t="str">
        <f t="shared" si="1"/>
        <v>2001</v>
      </c>
      <c r="C32" s="100">
        <f>'[3]TICO 2'!P46</f>
        <v>8894551.5983342491</v>
      </c>
      <c r="D32" s="101">
        <f>'6.4'!D32</f>
        <v>2.2927423481211551</v>
      </c>
      <c r="E32" s="31">
        <f t="shared" si="0"/>
        <v>20392915.117049638</v>
      </c>
      <c r="F32" s="100">
        <f>'[3]TICO 2'!V46</f>
        <v>1394445</v>
      </c>
      <c r="G32" s="23">
        <f t="shared" si="2"/>
        <v>6.8000000000000005E-2</v>
      </c>
      <c r="J32" s="2"/>
    </row>
    <row r="33" spans="1:10" x14ac:dyDescent="0.2">
      <c r="A33" t="str">
        <f t="shared" si="1"/>
        <v>2002</v>
      </c>
      <c r="C33" s="100">
        <f>'[3]TICO 2'!P47</f>
        <v>10534795</v>
      </c>
      <c r="D33" s="101">
        <f>'6.4'!D33</f>
        <v>2.1137730087108539</v>
      </c>
      <c r="E33" s="31">
        <f t="shared" si="0"/>
        <v>22268165.32330206</v>
      </c>
      <c r="F33" s="100">
        <f>'[3]TICO 2'!V47</f>
        <v>1227528</v>
      </c>
      <c r="G33" s="23">
        <f t="shared" si="2"/>
        <v>5.5E-2</v>
      </c>
      <c r="J33" s="2"/>
    </row>
    <row r="34" spans="1:10" x14ac:dyDescent="0.2">
      <c r="A34" t="str">
        <f t="shared" si="1"/>
        <v>2003</v>
      </c>
      <c r="C34" s="100">
        <f>'[3]TICO 2'!P48</f>
        <v>13881847</v>
      </c>
      <c r="D34" s="101">
        <f>'[3]TWIA 5'!J273</f>
        <v>2.1137730087108535</v>
      </c>
      <c r="E34" s="31">
        <f t="shared" si="0"/>
        <v>29343073.499653734</v>
      </c>
      <c r="F34" s="100">
        <f>'[3]TICO 2'!V48</f>
        <v>2295803</v>
      </c>
      <c r="G34" s="23">
        <f t="shared" si="2"/>
        <v>7.8E-2</v>
      </c>
      <c r="J34" s="2"/>
    </row>
    <row r="35" spans="1:10" x14ac:dyDescent="0.2">
      <c r="A35" t="str">
        <f t="shared" si="1"/>
        <v>2004</v>
      </c>
      <c r="B35" s="59"/>
      <c r="C35" s="100">
        <f>'[3]TICO 2'!P49</f>
        <v>15458506</v>
      </c>
      <c r="D35" s="101">
        <f>'[3]TWIA 5'!J274</f>
        <v>2.0155786842906278</v>
      </c>
      <c r="E35" s="31">
        <f t="shared" si="0"/>
        <v>31157835.184578776</v>
      </c>
      <c r="F35" s="100">
        <f>'[3]TICO 2'!V49</f>
        <v>569877</v>
      </c>
      <c r="G35" s="23">
        <f t="shared" si="2"/>
        <v>1.7999999999999999E-2</v>
      </c>
      <c r="J35" s="2"/>
    </row>
    <row r="36" spans="1:10" x14ac:dyDescent="0.2">
      <c r="A36" t="str">
        <f t="shared" si="1"/>
        <v>2005</v>
      </c>
      <c r="C36" s="100">
        <f>'[3]TICO 2'!P50</f>
        <v>17471646</v>
      </c>
      <c r="D36" s="101">
        <f>'[3]TWIA 5'!J275</f>
        <v>1.9286250079478591</v>
      </c>
      <c r="E36" s="31">
        <f t="shared" si="0"/>
        <v>33696253.405612178</v>
      </c>
      <c r="F36" s="100">
        <f>'[3]TICO 2'!V50</f>
        <v>872451</v>
      </c>
      <c r="G36" s="23">
        <f t="shared" si="2"/>
        <v>2.5999999999999999E-2</v>
      </c>
      <c r="J36" s="2"/>
    </row>
    <row r="37" spans="1:10" x14ac:dyDescent="0.2">
      <c r="A37" t="str">
        <f t="shared" si="1"/>
        <v>2006</v>
      </c>
      <c r="C37" s="100">
        <f>'[3]TICO 2'!P51</f>
        <v>19888512</v>
      </c>
      <c r="D37" s="101">
        <f>'[3]TWIA 5'!J276</f>
        <v>1.9239964550740354</v>
      </c>
      <c r="E37" s="31">
        <f t="shared" si="0"/>
        <v>38265426.58469741</v>
      </c>
      <c r="F37" s="100">
        <f>'[3]TICO 2'!V51</f>
        <v>621501</v>
      </c>
      <c r="G37" s="23">
        <f t="shared" si="2"/>
        <v>1.6E-2</v>
      </c>
      <c r="J37" s="2"/>
    </row>
    <row r="38" spans="1:10" x14ac:dyDescent="0.2">
      <c r="A38" t="str">
        <f t="shared" si="1"/>
        <v>2007</v>
      </c>
      <c r="B38" s="51"/>
      <c r="C38" s="100">
        <f>'[3]TICO 2'!P52</f>
        <v>29704042</v>
      </c>
      <c r="D38" s="101">
        <f>'[3]TWIA 5'!J277</f>
        <v>1.8364634726042233</v>
      </c>
      <c r="E38" s="31">
        <f t="shared" si="0"/>
        <v>54550388.121701695</v>
      </c>
      <c r="F38" s="100">
        <f>'[3]TICO 2'!V52</f>
        <v>833793</v>
      </c>
      <c r="G38" s="53">
        <f t="shared" si="2"/>
        <v>1.4999999999999999E-2</v>
      </c>
      <c r="J38" s="2"/>
    </row>
    <row r="39" spans="1:10" x14ac:dyDescent="0.2">
      <c r="A39" t="str">
        <f t="shared" si="1"/>
        <v>2008</v>
      </c>
      <c r="B39" s="59"/>
      <c r="C39" s="100">
        <f>'[3]TICO 2'!P53</f>
        <v>40565108</v>
      </c>
      <c r="D39" s="101">
        <f>'[3]TWIA 5'!J278</f>
        <v>1.7320113079002217</v>
      </c>
      <c r="E39" s="31">
        <f>C39*D39</f>
        <v>70259225.762193754</v>
      </c>
      <c r="F39" s="100">
        <f>'[3]TICO 2'!V53</f>
        <v>1468028</v>
      </c>
      <c r="G39" s="53">
        <f t="shared" si="2"/>
        <v>2.1000000000000001E-2</v>
      </c>
      <c r="J39" s="2"/>
    </row>
    <row r="40" spans="1:10" x14ac:dyDescent="0.2">
      <c r="A40" t="str">
        <f t="shared" si="1"/>
        <v>2009</v>
      </c>
      <c r="C40" s="100">
        <f>'[3]TICO 2'!P54</f>
        <v>46363445</v>
      </c>
      <c r="D40" s="101">
        <f>'[3]TWIA 5'!J279</f>
        <v>1.5736409509560276</v>
      </c>
      <c r="E40" s="31">
        <f t="shared" si="0"/>
        <v>72959415.679397479</v>
      </c>
      <c r="F40" s="100">
        <f>'[3]TICO 2'!V54</f>
        <v>615469</v>
      </c>
      <c r="G40" s="53">
        <f t="shared" si="2"/>
        <v>8.0000000000000002E-3</v>
      </c>
      <c r="J40" s="2"/>
    </row>
    <row r="41" spans="1:10" x14ac:dyDescent="0.2">
      <c r="A41" t="str">
        <f t="shared" si="1"/>
        <v>2010</v>
      </c>
      <c r="C41" s="100">
        <f>'[3]TICO 2'!P55</f>
        <v>51529115</v>
      </c>
      <c r="D41" s="101">
        <f>'[3]TWIA 5'!J280</f>
        <v>1.4778548957967299</v>
      </c>
      <c r="E41" s="31">
        <f t="shared" si="0"/>
        <v>76152554.878822714</v>
      </c>
      <c r="F41" s="100">
        <f>'[3]TICO 2'!V55</f>
        <v>4059049</v>
      </c>
      <c r="G41" s="53">
        <f t="shared" si="2"/>
        <v>5.2999999999999999E-2</v>
      </c>
      <c r="J41" s="2"/>
    </row>
    <row r="42" spans="1:10" x14ac:dyDescent="0.2">
      <c r="A42" t="str">
        <f t="shared" si="1"/>
        <v>2011</v>
      </c>
      <c r="C42" s="100">
        <f>'[3]TICO 2'!P56</f>
        <v>52931755</v>
      </c>
      <c r="D42" s="101">
        <f>'[3]TWIA 5'!J281</f>
        <v>1.4413525093000297</v>
      </c>
      <c r="E42" s="31">
        <f t="shared" si="0"/>
        <v>76293317.890904397</v>
      </c>
      <c r="F42" s="100">
        <f>'[3]TICO 2'!V56</f>
        <v>19845538</v>
      </c>
      <c r="G42" s="53">
        <f t="shared" si="2"/>
        <v>0.26</v>
      </c>
      <c r="J42" s="2"/>
    </row>
    <row r="43" spans="1:10" s="59" customFormat="1" x14ac:dyDescent="0.2">
      <c r="A43" t="str">
        <f t="shared" si="1"/>
        <v>2012</v>
      </c>
      <c r="B43" s="50"/>
      <c r="C43" s="100">
        <f>'[3]TICO 2'!P57</f>
        <v>56334273</v>
      </c>
      <c r="D43" s="101">
        <f>'[3]TWIA 5'!J282</f>
        <v>1.3727418575616306</v>
      </c>
      <c r="E43" s="31">
        <f t="shared" si="0"/>
        <v>77332414.562404007</v>
      </c>
      <c r="F43" s="100">
        <f>'[3]TICO 2'!V57</f>
        <v>21291155</v>
      </c>
      <c r="G43" s="53">
        <f t="shared" si="2"/>
        <v>0.27500000000000002</v>
      </c>
      <c r="H43"/>
      <c r="I43"/>
      <c r="J43" s="2"/>
    </row>
    <row r="44" spans="1:10" s="59" customFormat="1" x14ac:dyDescent="0.2">
      <c r="A44" t="str">
        <f t="shared" si="1"/>
        <v>2013</v>
      </c>
      <c r="B44" s="50"/>
      <c r="C44" s="100">
        <f>'[3]TICO 2'!P58</f>
        <v>60101696</v>
      </c>
      <c r="D44" s="101">
        <f>'[3]TWIA 5'!J283</f>
        <v>1.3075493593415155</v>
      </c>
      <c r="E44" s="31">
        <f t="shared" si="0"/>
        <v>78585934.10013853</v>
      </c>
      <c r="F44" s="100">
        <f>'[3]TICO 2'!V58</f>
        <v>6825640</v>
      </c>
      <c r="G44" s="53">
        <f t="shared" si="2"/>
        <v>8.6999999999999994E-2</v>
      </c>
      <c r="H44"/>
      <c r="I44"/>
      <c r="J44" s="2"/>
    </row>
    <row r="45" spans="1:10" s="59" customFormat="1" x14ac:dyDescent="0.2">
      <c r="A45" t="str">
        <f t="shared" si="1"/>
        <v>2014</v>
      </c>
      <c r="B45" s="50"/>
      <c r="C45" s="100">
        <f>'[3]TICO 2'!P59</f>
        <v>65642137</v>
      </c>
      <c r="D45" s="101">
        <f>'[3]TWIA 5'!J284</f>
        <v>1.2455465141622073</v>
      </c>
      <c r="E45" s="31">
        <f t="shared" si="0"/>
        <v>81760334.922508046</v>
      </c>
      <c r="F45" s="100">
        <f>'[3]TICO 2'!V59</f>
        <v>1914066</v>
      </c>
      <c r="G45" s="53">
        <f t="shared" si="2"/>
        <v>2.3E-2</v>
      </c>
      <c r="H45"/>
      <c r="I45"/>
      <c r="J45" s="2"/>
    </row>
    <row r="46" spans="1:10" s="59" customFormat="1" x14ac:dyDescent="0.2">
      <c r="A46" t="str">
        <f t="shared" si="1"/>
        <v>2015</v>
      </c>
      <c r="B46" s="50"/>
      <c r="C46" s="100">
        <f>'[3]TICO 2'!P60</f>
        <v>72124134</v>
      </c>
      <c r="D46" s="101">
        <f>'[3]TWIA 5'!J285</f>
        <v>1.1864644900727379</v>
      </c>
      <c r="E46" s="120">
        <f t="shared" ref="E46:E52" si="3">C46*D46</f>
        <v>85572723.868247822</v>
      </c>
      <c r="F46" s="100">
        <f>'[3]TICO 2'!V60</f>
        <v>9924249</v>
      </c>
      <c r="G46" s="53">
        <f t="shared" si="2"/>
        <v>0.11600000000000001</v>
      </c>
      <c r="H46"/>
      <c r="I46"/>
      <c r="J46" s="2"/>
    </row>
    <row r="47" spans="1:10" x14ac:dyDescent="0.2">
      <c r="A47" t="str">
        <f t="shared" si="1"/>
        <v>2016</v>
      </c>
      <c r="B47" s="50"/>
      <c r="C47" s="100">
        <f>'[3]TICO 2'!P61</f>
        <v>76436084</v>
      </c>
      <c r="D47" s="101">
        <f>'[3]TWIA 5'!J286</f>
        <v>1.1303877408726286</v>
      </c>
      <c r="E47" s="120">
        <f t="shared" si="3"/>
        <v>86402412.313910469</v>
      </c>
      <c r="F47" s="100">
        <f>'[3]TICO 2'!V61</f>
        <v>10446690</v>
      </c>
      <c r="G47" s="53">
        <f t="shared" si="2"/>
        <v>0.121</v>
      </c>
      <c r="H47" s="50"/>
      <c r="I47" s="50"/>
      <c r="J47" s="2"/>
    </row>
    <row r="48" spans="1:10" s="50" customFormat="1" x14ac:dyDescent="0.2">
      <c r="A48" t="str">
        <f t="shared" si="1"/>
        <v>2017</v>
      </c>
      <c r="C48" s="100">
        <f>'[3]TICO 2'!P62</f>
        <v>77008517</v>
      </c>
      <c r="D48" s="101">
        <f>'[3]TWIA 5'!J287</f>
        <v>1.1025000000000003</v>
      </c>
      <c r="E48" s="120">
        <f t="shared" si="3"/>
        <v>84901889.992500022</v>
      </c>
      <c r="F48" s="100">
        <f>'[3]TICO 2'!V62</f>
        <v>278027548</v>
      </c>
      <c r="G48" s="53">
        <f>ROUND(F48/E48,3)</f>
        <v>3.2749999999999999</v>
      </c>
      <c r="J48" s="2"/>
    </row>
    <row r="49" spans="1:12" s="50" customFormat="1" x14ac:dyDescent="0.2">
      <c r="A49" t="str">
        <f t="shared" si="1"/>
        <v>2018</v>
      </c>
      <c r="C49" s="100">
        <f>'[3]TICO 2'!P63</f>
        <v>77031486</v>
      </c>
      <c r="D49" s="101">
        <f>'[3]TWIA 5'!J288</f>
        <v>1.0768211446107889</v>
      </c>
      <c r="E49" s="120">
        <f t="shared" si="3"/>
        <v>82949132.925589964</v>
      </c>
      <c r="F49" s="100">
        <f>'[3]TICO 2'!V63</f>
        <v>1715171</v>
      </c>
      <c r="G49" s="53">
        <f>ROUND(F49/E49,3)</f>
        <v>2.1000000000000001E-2</v>
      </c>
      <c r="J49" s="2"/>
    </row>
    <row r="50" spans="1:12" s="50" customFormat="1" x14ac:dyDescent="0.2">
      <c r="A50" t="str">
        <f t="shared" si="1"/>
        <v>2019</v>
      </c>
      <c r="C50" s="100">
        <f>'[3]TICO 2'!P64</f>
        <v>76506580</v>
      </c>
      <c r="D50" s="101">
        <f>'[3]TWIA 5'!J289</f>
        <v>1.0499999999999947</v>
      </c>
      <c r="E50" s="120">
        <f t="shared" si="3"/>
        <v>80331908.999999598</v>
      </c>
      <c r="F50" s="100">
        <f>'[3]TICO 2'!V64</f>
        <v>1359080</v>
      </c>
      <c r="G50" s="53">
        <f>ROUND(F50/E50,3)</f>
        <v>1.7000000000000001E-2</v>
      </c>
      <c r="J50" s="2"/>
    </row>
    <row r="51" spans="1:12" s="50" customFormat="1" x14ac:dyDescent="0.2">
      <c r="A51" t="str">
        <f t="shared" si="1"/>
        <v>2020</v>
      </c>
      <c r="C51" s="100">
        <f>'[3]TICO 2'!P65</f>
        <v>73290165</v>
      </c>
      <c r="D51" s="101">
        <f>'[3]TWIA 5'!J290</f>
        <v>1.0500000000000036</v>
      </c>
      <c r="E51" s="120">
        <f t="shared" si="3"/>
        <v>76954673.250000268</v>
      </c>
      <c r="F51" s="100">
        <f>'[3]TICO 2'!V65</f>
        <v>3030413</v>
      </c>
      <c r="G51" s="53">
        <f>ROUND(F51/E51,3)</f>
        <v>3.9E-2</v>
      </c>
      <c r="J51" s="2"/>
    </row>
    <row r="52" spans="1:12" s="50" customFormat="1" x14ac:dyDescent="0.2">
      <c r="A52" s="25">
        <v>2021</v>
      </c>
      <c r="C52" s="100">
        <f>'[3]TICO 2'!P66</f>
        <v>71903454</v>
      </c>
      <c r="D52" s="101">
        <f>'[3]TWIA 5'!J291</f>
        <v>1.0500000000000056</v>
      </c>
      <c r="E52" s="120">
        <f t="shared" si="3"/>
        <v>75498626.700000405</v>
      </c>
      <c r="F52" s="100">
        <f>'[3]TICO 2'!V66</f>
        <v>1460970</v>
      </c>
      <c r="G52" s="53">
        <f>ROUND(F52/E52,3)</f>
        <v>1.9E-2</v>
      </c>
      <c r="J52" s="2"/>
    </row>
    <row r="53" spans="1:12" s="59" customFormat="1" x14ac:dyDescent="0.2">
      <c r="A53" s="313"/>
      <c r="B53" s="313"/>
      <c r="C53" s="309"/>
      <c r="D53" s="310"/>
      <c r="E53" s="311"/>
      <c r="F53" s="309"/>
      <c r="G53" s="312"/>
      <c r="H53"/>
      <c r="I53"/>
      <c r="J53" s="2"/>
    </row>
    <row r="54" spans="1:12" x14ac:dyDescent="0.2">
      <c r="A54" s="59" t="s">
        <v>9</v>
      </c>
      <c r="B54" s="59"/>
      <c r="C54" s="31">
        <f>SUM(C14:C52)</f>
        <v>1105726556.8544798</v>
      </c>
      <c r="D54" s="31"/>
      <c r="E54" s="31">
        <f>SUM(E14:E52)</f>
        <v>1569792783.3569312</v>
      </c>
      <c r="F54" s="31">
        <f>SUM(F14:F52)</f>
        <v>388306415.90999997</v>
      </c>
      <c r="G54" s="23">
        <f>ROUND(F54/E54,3)</f>
        <v>0.247</v>
      </c>
      <c r="J54" s="2"/>
    </row>
    <row r="55" spans="1:12" ht="10.5" thickBot="1" x14ac:dyDescent="0.25">
      <c r="A55" s="6"/>
      <c r="B55" s="6"/>
      <c r="C55" s="352"/>
      <c r="D55" s="6"/>
      <c r="E55" s="352"/>
      <c r="F55" s="352"/>
      <c r="G55" s="6"/>
      <c r="J55" s="2"/>
      <c r="K55" t="s">
        <v>217</v>
      </c>
      <c r="L55" t="s">
        <v>218</v>
      </c>
    </row>
    <row r="56" spans="1:12" s="59" customFormat="1" ht="10.5" thickTop="1" x14ac:dyDescent="0.2">
      <c r="A56"/>
      <c r="B56"/>
      <c r="C56"/>
      <c r="D56"/>
      <c r="E56"/>
      <c r="F56"/>
      <c r="G56"/>
      <c r="H56"/>
      <c r="I56"/>
      <c r="J56" s="2"/>
      <c r="K56" s="84">
        <f>'6.4'!K$55</f>
        <v>44469</v>
      </c>
      <c r="L56" s="84">
        <f>'6.4'!L$55</f>
        <v>44561</v>
      </c>
    </row>
    <row r="57" spans="1:12" s="59" customFormat="1" x14ac:dyDescent="0.2">
      <c r="A57" t="s">
        <v>17</v>
      </c>
      <c r="B57"/>
      <c r="C57"/>
      <c r="D57"/>
      <c r="E57"/>
      <c r="F57" s="45"/>
      <c r="G57"/>
      <c r="H57"/>
      <c r="I57"/>
      <c r="J57" s="2"/>
    </row>
    <row r="58" spans="1:12" x14ac:dyDescent="0.2">
      <c r="J58" s="2"/>
    </row>
    <row r="59" spans="1:12" x14ac:dyDescent="0.2">
      <c r="A59" s="22" t="str">
        <f>C12&amp;" Provided by TDI.  Accident years ending "&amp;TEXT($K$56,"m/d/xx")&amp;" as of "&amp;TEXT($L$56,"m/d/yyyy")</f>
        <v>(2) Provided by TDI.  Accident years ending 9/30/xx as of 12/31/2021</v>
      </c>
      <c r="J59" s="2"/>
    </row>
    <row r="60" spans="1:12" x14ac:dyDescent="0.2">
      <c r="A60" s="22" t="str">
        <f>'6.4'!A59</f>
        <v>(3) 1987 and prior judgementally selected; 1988 - 2021 based on TWIA on-level factors</v>
      </c>
      <c r="J60" s="2"/>
    </row>
    <row r="61" spans="1:12" x14ac:dyDescent="0.2">
      <c r="A61" s="22" t="str">
        <f>E12&amp;" = "&amp;C12&amp;" * "&amp;D12</f>
        <v>(4) = (2) * (3)</v>
      </c>
      <c r="J61" s="2"/>
    </row>
    <row r="62" spans="1:12" x14ac:dyDescent="0.2">
      <c r="A62" s="22" t="str">
        <f>F12&amp;" Provided by TDI. Accidn't yrs ending "&amp;TEXT($K$56,"m/d/xx")&amp;" as of "&amp;TEXT($L$56,"m/d/yyyy")</f>
        <v>(5) Provided by TDI. Accidn't yrs ending 9/30/xx as of 12/31/2021</v>
      </c>
      <c r="J62" s="2"/>
    </row>
    <row r="63" spans="1:12" x14ac:dyDescent="0.2">
      <c r="A63" s="22" t="str">
        <f>G12&amp;" = "&amp;F12&amp;" / "&amp;E12</f>
        <v>(6) = (5) / (4)</v>
      </c>
      <c r="B63" s="25"/>
      <c r="J63" s="2"/>
    </row>
    <row r="64" spans="1:12" ht="10.5" thickBot="1" x14ac:dyDescent="0.25">
      <c r="B64" s="25"/>
      <c r="C64" s="60"/>
      <c r="D64" s="60"/>
      <c r="E64" s="60"/>
      <c r="F64" s="60"/>
      <c r="G64" s="23"/>
      <c r="J64" s="2"/>
    </row>
    <row r="65" spans="1:10" ht="10.5" thickBot="1" x14ac:dyDescent="0.25">
      <c r="A65" s="4"/>
      <c r="B65" s="5"/>
      <c r="C65" s="5"/>
      <c r="D65" s="5"/>
      <c r="E65" s="5"/>
      <c r="F65" s="5"/>
      <c r="G65" s="5"/>
      <c r="H65" s="5"/>
      <c r="I65" s="5"/>
      <c r="J65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2">
    <tabColor rgb="FF92D050"/>
  </sheetPr>
  <dimension ref="A1:O64"/>
  <sheetViews>
    <sheetView showGridLines="0" topLeftCell="A49" workbookViewId="0">
      <selection activeCell="C34" sqref="C34"/>
    </sheetView>
  </sheetViews>
  <sheetFormatPr defaultColWidth="11.33203125" defaultRowHeight="10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</cols>
  <sheetData>
    <row r="1" spans="1:15" ht="10.5" x14ac:dyDescent="0.25">
      <c r="A1" s="8" t="str">
        <f>'1'!$A$1</f>
        <v>Texas Windstorm Insurance Association</v>
      </c>
      <c r="B1" s="12"/>
      <c r="I1" s="7" t="s">
        <v>106</v>
      </c>
      <c r="J1" s="1"/>
      <c r="N1" t="s">
        <v>428</v>
      </c>
      <c r="O1" t="s">
        <v>452</v>
      </c>
    </row>
    <row r="2" spans="1:15" ht="10.5" x14ac:dyDescent="0.25">
      <c r="A2" s="8" t="str">
        <f>'1'!$A$2</f>
        <v>Residential Property - Wind &amp; Hail</v>
      </c>
      <c r="B2" s="12"/>
      <c r="I2" s="7" t="s">
        <v>138</v>
      </c>
      <c r="J2" s="2"/>
      <c r="N2" t="s">
        <v>428</v>
      </c>
      <c r="O2" t="s">
        <v>458</v>
      </c>
    </row>
    <row r="3" spans="1:15" ht="10.5" x14ac:dyDescent="0.25">
      <c r="A3" s="8" t="str">
        <f>'1'!$A$3</f>
        <v>Rate Level Review</v>
      </c>
      <c r="B3" s="12"/>
      <c r="J3" s="2"/>
      <c r="N3" t="s">
        <v>428</v>
      </c>
      <c r="O3" t="s">
        <v>459</v>
      </c>
    </row>
    <row r="4" spans="1:15" x14ac:dyDescent="0.2">
      <c r="A4" t="s">
        <v>107</v>
      </c>
      <c r="B4" s="12"/>
      <c r="J4" s="2"/>
    </row>
    <row r="5" spans="1:15" x14ac:dyDescent="0.2">
      <c r="A5" t="s">
        <v>47</v>
      </c>
      <c r="B5" s="12"/>
      <c r="J5" s="2"/>
    </row>
    <row r="6" spans="1:15" x14ac:dyDescent="0.2">
      <c r="J6" s="2"/>
    </row>
    <row r="7" spans="1:15" ht="10.5" thickBot="1" x14ac:dyDescent="0.25">
      <c r="A7" s="6"/>
      <c r="B7" s="6"/>
      <c r="C7" s="6"/>
      <c r="D7" s="6"/>
      <c r="E7" s="6"/>
      <c r="F7" s="6"/>
      <c r="G7" s="6"/>
      <c r="J7" s="2"/>
    </row>
    <row r="8" spans="1:15" ht="10.5" thickTop="1" x14ac:dyDescent="0.2">
      <c r="J8" s="2"/>
    </row>
    <row r="9" spans="1:15" x14ac:dyDescent="0.2">
      <c r="C9" s="22"/>
      <c r="D9" t="s">
        <v>37</v>
      </c>
      <c r="E9" t="s">
        <v>44</v>
      </c>
      <c r="J9" s="2"/>
      <c r="K9" s="27"/>
    </row>
    <row r="10" spans="1:15" x14ac:dyDescent="0.2">
      <c r="A10" t="s">
        <v>53</v>
      </c>
      <c r="C10" t="s">
        <v>126</v>
      </c>
      <c r="D10" t="s">
        <v>136</v>
      </c>
      <c r="E10" t="s">
        <v>42</v>
      </c>
      <c r="F10" t="s">
        <v>87</v>
      </c>
      <c r="G10" t="s">
        <v>87</v>
      </c>
      <c r="J10" s="2"/>
      <c r="K10" s="22"/>
    </row>
    <row r="11" spans="1:15" x14ac:dyDescent="0.2">
      <c r="A11" s="9" t="s">
        <v>54</v>
      </c>
      <c r="B11" s="9"/>
      <c r="C11" s="9" t="s">
        <v>127</v>
      </c>
      <c r="D11" s="9" t="s">
        <v>137</v>
      </c>
      <c r="E11" s="9" t="s">
        <v>43</v>
      </c>
      <c r="F11" s="9" t="s">
        <v>41</v>
      </c>
      <c r="G11" s="9" t="s">
        <v>78</v>
      </c>
      <c r="J11" s="2"/>
      <c r="K11" s="52"/>
    </row>
    <row r="12" spans="1:15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J12" s="2"/>
    </row>
    <row r="13" spans="1:15" x14ac:dyDescent="0.2">
      <c r="J13" s="2"/>
    </row>
    <row r="14" spans="1:15" x14ac:dyDescent="0.2">
      <c r="A14" s="181">
        <v>1983</v>
      </c>
      <c r="C14" s="38">
        <v>5888781</v>
      </c>
      <c r="D14" s="35">
        <f>'6.4'!D14</f>
        <v>2.252543431048422</v>
      </c>
      <c r="E14" s="31">
        <f t="shared" ref="E14:E44" si="0">C14*D14</f>
        <v>13264734.958432758</v>
      </c>
      <c r="F14" s="38">
        <v>21953626</v>
      </c>
      <c r="G14" s="23">
        <f>F14/E14</f>
        <v>1.6550369131984408</v>
      </c>
      <c r="J14" s="2"/>
    </row>
    <row r="15" spans="1:15" x14ac:dyDescent="0.2">
      <c r="A15" t="str">
        <f>TEXT(A14+1,"#")</f>
        <v>1984</v>
      </c>
      <c r="C15" s="38">
        <v>3924651</v>
      </c>
      <c r="D15" s="35">
        <f>'6.4'!D15</f>
        <v>2.252543431048422</v>
      </c>
      <c r="E15" s="31">
        <f t="shared" si="0"/>
        <v>8840446.8292076197</v>
      </c>
      <c r="F15" s="38">
        <v>2135063</v>
      </c>
      <c r="G15" s="23">
        <f>F15/E15</f>
        <v>0.24151075632806768</v>
      </c>
      <c r="J15" s="2"/>
    </row>
    <row r="16" spans="1:15" x14ac:dyDescent="0.2">
      <c r="A16" t="str">
        <f t="shared" ref="A16:A51" si="1">TEXT(A15+1,"#")</f>
        <v>1985</v>
      </c>
      <c r="C16" s="38">
        <v>5808825</v>
      </c>
      <c r="D16" s="35">
        <f>'6.4'!D16</f>
        <v>2.252543431048422</v>
      </c>
      <c r="E16" s="31">
        <f t="shared" si="0"/>
        <v>13084630.59585985</v>
      </c>
      <c r="F16" s="38">
        <v>1055065</v>
      </c>
      <c r="G16" s="23">
        <f>F16/E16</f>
        <v>8.0633915666968578E-2</v>
      </c>
      <c r="J16" s="2"/>
    </row>
    <row r="17" spans="1:10" x14ac:dyDescent="0.2">
      <c r="A17" t="str">
        <f t="shared" si="1"/>
        <v>1986</v>
      </c>
      <c r="C17" s="38">
        <v>6993722</v>
      </c>
      <c r="D17" s="35">
        <f>'6.4'!D17</f>
        <v>2.252543431048422</v>
      </c>
      <c r="E17" s="31">
        <f t="shared" si="0"/>
        <v>15753662.549678832</v>
      </c>
      <c r="F17" s="38">
        <v>3338312</v>
      </c>
      <c r="G17" s="23">
        <f t="shared" ref="G17:G42" si="2">ROUND(F17/E17,3)</f>
        <v>0.21199999999999999</v>
      </c>
      <c r="J17" s="2"/>
    </row>
    <row r="18" spans="1:10" x14ac:dyDescent="0.2">
      <c r="A18" t="str">
        <f t="shared" si="1"/>
        <v>1987</v>
      </c>
      <c r="C18" s="38">
        <v>7677374</v>
      </c>
      <c r="D18" s="35">
        <f>'6.4'!D18</f>
        <v>2.252543431048422</v>
      </c>
      <c r="E18" s="31">
        <f t="shared" si="0"/>
        <v>17293618.371401947</v>
      </c>
      <c r="F18" s="38">
        <v>634637</v>
      </c>
      <c r="G18" s="23">
        <f t="shared" si="2"/>
        <v>3.6999999999999998E-2</v>
      </c>
      <c r="J18" s="2"/>
    </row>
    <row r="19" spans="1:10" x14ac:dyDescent="0.2">
      <c r="A19" t="str">
        <f t="shared" si="1"/>
        <v>1988</v>
      </c>
      <c r="C19" s="207">
        <v>8284768</v>
      </c>
      <c r="D19" s="35">
        <f>'6.4'!D19</f>
        <v>2.3150497749726844</v>
      </c>
      <c r="E19" s="31">
        <f t="shared" si="0"/>
        <v>19179650.294100896</v>
      </c>
      <c r="F19" s="207">
        <v>3434130</v>
      </c>
      <c r="G19" s="23">
        <f t="shared" si="2"/>
        <v>0.17899999999999999</v>
      </c>
      <c r="J19" s="2"/>
    </row>
    <row r="20" spans="1:10" x14ac:dyDescent="0.2">
      <c r="A20" t="str">
        <f t="shared" si="1"/>
        <v>1989</v>
      </c>
      <c r="C20" s="207">
        <v>7733295</v>
      </c>
      <c r="D20" s="35">
        <f>'6.4'!D20</f>
        <v>2.3811241343006575</v>
      </c>
      <c r="E20" s="31">
        <f t="shared" si="0"/>
        <v>18413935.362166602</v>
      </c>
      <c r="F20" s="207">
        <v>1670422</v>
      </c>
      <c r="G20" s="23">
        <f t="shared" si="2"/>
        <v>9.0999999999999998E-2</v>
      </c>
      <c r="J20" s="2"/>
    </row>
    <row r="21" spans="1:10" x14ac:dyDescent="0.2">
      <c r="A21" t="str">
        <f t="shared" si="1"/>
        <v>1990</v>
      </c>
      <c r="C21" s="207">
        <v>7568146</v>
      </c>
      <c r="D21" s="35">
        <f>'6.4'!D21</f>
        <v>2.3447800436244783</v>
      </c>
      <c r="E21" s="31">
        <f t="shared" si="0"/>
        <v>17745637.708036423</v>
      </c>
      <c r="F21" s="207">
        <v>2095151</v>
      </c>
      <c r="G21" s="23">
        <f t="shared" si="2"/>
        <v>0.11799999999999999</v>
      </c>
      <c r="J21" s="2"/>
    </row>
    <row r="22" spans="1:10" x14ac:dyDescent="0.2">
      <c r="A22" t="str">
        <f t="shared" si="1"/>
        <v>1991</v>
      </c>
      <c r="C22" s="100">
        <f>'[3]TICO 2'!Q36</f>
        <v>8287605.1148678511</v>
      </c>
      <c r="D22" s="35">
        <f>'6.4'!D22</f>
        <v>2.0529144384529867</v>
      </c>
      <c r="E22" s="31">
        <f t="shared" si="0"/>
        <v>17013744.200509034</v>
      </c>
      <c r="F22" s="100">
        <f>'[3]TICO 2'!W36</f>
        <v>22444043.9799999</v>
      </c>
      <c r="G22" s="23">
        <f t="shared" si="2"/>
        <v>1.319</v>
      </c>
      <c r="J22" s="2"/>
    </row>
    <row r="23" spans="1:10" x14ac:dyDescent="0.2">
      <c r="A23" t="str">
        <f t="shared" si="1"/>
        <v>1992</v>
      </c>
      <c r="B23" s="22"/>
      <c r="C23" s="100">
        <f>'[3]TICO 2'!Q37</f>
        <v>8059406.7247919338</v>
      </c>
      <c r="D23" s="35">
        <f>'6.4'!D23</f>
        <v>2.5309904035721749</v>
      </c>
      <c r="E23" s="31">
        <f t="shared" si="0"/>
        <v>20398281.078933436</v>
      </c>
      <c r="F23" s="100">
        <f>'[3]TICO 2'!W37</f>
        <v>1625107.7899999989</v>
      </c>
      <c r="G23" s="23">
        <f t="shared" si="2"/>
        <v>0.08</v>
      </c>
      <c r="J23" s="2"/>
    </row>
    <row r="24" spans="1:10" x14ac:dyDescent="0.2">
      <c r="A24" t="str">
        <f t="shared" si="1"/>
        <v>1993</v>
      </c>
      <c r="B24" s="22"/>
      <c r="C24" s="100">
        <f>'[3]TICO 2'!Q38</f>
        <v>8448603.4214781895</v>
      </c>
      <c r="D24" s="35">
        <f>'6.4'!D24</f>
        <v>3.4926710673113193</v>
      </c>
      <c r="E24" s="31">
        <f t="shared" si="0"/>
        <v>29508192.729384292</v>
      </c>
      <c r="F24" s="100">
        <f>'[3]TICO 2'!W38</f>
        <v>1776572.409999999</v>
      </c>
      <c r="G24" s="23">
        <f t="shared" si="2"/>
        <v>0.06</v>
      </c>
      <c r="J24" s="2"/>
    </row>
    <row r="25" spans="1:10" x14ac:dyDescent="0.2">
      <c r="A25" t="str">
        <f t="shared" si="1"/>
        <v>1994</v>
      </c>
      <c r="B25" s="22"/>
      <c r="C25" s="100">
        <f>'[3]TICO 2'!Q39</f>
        <v>9743293.14213733</v>
      </c>
      <c r="D25" s="35">
        <f>'6.4'!D25</f>
        <v>3.0896705595446288</v>
      </c>
      <c r="E25" s="31">
        <f t="shared" si="0"/>
        <v>30103565.974274788</v>
      </c>
      <c r="F25" s="100">
        <f>'[3]TICO 2'!W39</f>
        <v>1637914.6199999992</v>
      </c>
      <c r="G25" s="23">
        <f t="shared" si="2"/>
        <v>5.3999999999999999E-2</v>
      </c>
      <c r="J25" s="2"/>
    </row>
    <row r="26" spans="1:10" x14ac:dyDescent="0.2">
      <c r="A26" t="str">
        <f t="shared" si="1"/>
        <v>1995</v>
      </c>
      <c r="C26" s="100">
        <f>'[3]TICO 2'!Q40</f>
        <v>10745994.710252099</v>
      </c>
      <c r="D26" s="35">
        <f>'6.4'!D26</f>
        <v>2.7463738307063363</v>
      </c>
      <c r="E26" s="31">
        <f t="shared" si="0"/>
        <v>29512518.657145083</v>
      </c>
      <c r="F26" s="100">
        <f>'[3]TICO 2'!W40</f>
        <v>2416675</v>
      </c>
      <c r="G26" s="23">
        <f t="shared" si="2"/>
        <v>8.2000000000000003E-2</v>
      </c>
      <c r="J26" s="2"/>
    </row>
    <row r="27" spans="1:10" x14ac:dyDescent="0.2">
      <c r="A27" t="str">
        <f t="shared" si="1"/>
        <v>1996</v>
      </c>
      <c r="C27" s="100">
        <f>'[3]TICO 2'!Q41</f>
        <v>13294968.250411501</v>
      </c>
      <c r="D27" s="35">
        <f>'6.4'!D27</f>
        <v>2.4717364476357027</v>
      </c>
      <c r="E27" s="31">
        <f t="shared" si="0"/>
        <v>32861657.594701577</v>
      </c>
      <c r="F27" s="100">
        <f>'[3]TICO 2'!W41</f>
        <v>1520229</v>
      </c>
      <c r="G27" s="23">
        <f t="shared" si="2"/>
        <v>4.5999999999999999E-2</v>
      </c>
      <c r="J27" s="2"/>
    </row>
    <row r="28" spans="1:10" x14ac:dyDescent="0.2">
      <c r="A28" t="str">
        <f t="shared" si="1"/>
        <v>1997</v>
      </c>
      <c r="C28" s="100">
        <f>'[3]TICO 2'!Q42</f>
        <v>15708220.143906999</v>
      </c>
      <c r="D28" s="35">
        <f>'6.4'!D28</f>
        <v>2.4717364476357027</v>
      </c>
      <c r="E28" s="31">
        <f t="shared" si="0"/>
        <v>38826580.257180274</v>
      </c>
      <c r="F28" s="100">
        <f>'[3]TICO 2'!W42</f>
        <v>2569544</v>
      </c>
      <c r="G28" s="23">
        <f t="shared" si="2"/>
        <v>6.6000000000000003E-2</v>
      </c>
      <c r="J28" s="2"/>
    </row>
    <row r="29" spans="1:10" x14ac:dyDescent="0.2">
      <c r="A29" t="str">
        <f t="shared" si="1"/>
        <v>1998</v>
      </c>
      <c r="C29" s="100">
        <f>'[3]TICO 2'!Q43</f>
        <v>16168136.035215829</v>
      </c>
      <c r="D29" s="35">
        <f>'6.4'!D29</f>
        <v>2.4692671804552475</v>
      </c>
      <c r="E29" s="31">
        <f t="shared" si="0"/>
        <v>39923447.680894271</v>
      </c>
      <c r="F29" s="100">
        <f>'[3]TICO 2'!W43</f>
        <v>10312506</v>
      </c>
      <c r="G29" s="23">
        <f t="shared" si="2"/>
        <v>0.25800000000000001</v>
      </c>
      <c r="J29" s="2"/>
    </row>
    <row r="30" spans="1:10" x14ac:dyDescent="0.2">
      <c r="A30" t="str">
        <f t="shared" si="1"/>
        <v>1999</v>
      </c>
      <c r="C30" s="100">
        <f>'[3]TICO 2'!Q44</f>
        <v>14452666.932483979</v>
      </c>
      <c r="D30" s="35">
        <f>'6.4'!D30</f>
        <v>2.5884604847343118</v>
      </c>
      <c r="E30" s="31">
        <f t="shared" si="0"/>
        <v>37410157.253761038</v>
      </c>
      <c r="F30" s="100">
        <f>'[3]TICO 2'!W44</f>
        <v>3655754</v>
      </c>
      <c r="G30" s="23">
        <f t="shared" si="2"/>
        <v>9.8000000000000004E-2</v>
      </c>
      <c r="J30" s="2"/>
    </row>
    <row r="31" spans="1:10" x14ac:dyDescent="0.2">
      <c r="A31" t="str">
        <f t="shared" si="1"/>
        <v>2000</v>
      </c>
      <c r="C31" s="100">
        <f>'[3]TICO 2'!Q45</f>
        <v>14453384.88868602</v>
      </c>
      <c r="D31" s="35">
        <f>'6.4'!D31</f>
        <v>2.6092385660329733</v>
      </c>
      <c r="E31" s="31">
        <f t="shared" si="0"/>
        <v>37712329.261277758</v>
      </c>
      <c r="F31" s="100">
        <f>'[3]TICO 2'!W45</f>
        <v>3332580</v>
      </c>
      <c r="G31" s="23">
        <f t="shared" si="2"/>
        <v>8.7999999999999995E-2</v>
      </c>
      <c r="J31" s="2"/>
    </row>
    <row r="32" spans="1:10" x14ac:dyDescent="0.2">
      <c r="A32" t="str">
        <f t="shared" si="1"/>
        <v>2001</v>
      </c>
      <c r="C32" s="100">
        <f>'[3]TICO 2'!Q46</f>
        <v>15173521.372718498</v>
      </c>
      <c r="D32" s="35">
        <f>'6.4'!D32</f>
        <v>2.2927423481211551</v>
      </c>
      <c r="E32" s="31">
        <f t="shared" si="0"/>
        <v>34788975.02135314</v>
      </c>
      <c r="F32" s="100">
        <f>'[3]TICO 2'!W46</f>
        <v>2426814</v>
      </c>
      <c r="G32" s="23">
        <f t="shared" si="2"/>
        <v>7.0000000000000007E-2</v>
      </c>
      <c r="J32" s="2"/>
    </row>
    <row r="33" spans="1:10" x14ac:dyDescent="0.2">
      <c r="A33" t="str">
        <f t="shared" si="1"/>
        <v>2002</v>
      </c>
      <c r="C33" s="100">
        <f>'[3]TICO 2'!Q47</f>
        <v>17843905</v>
      </c>
      <c r="D33" s="35">
        <f>'6.4'!D33</f>
        <v>2.1137730087108539</v>
      </c>
      <c r="E33" s="31">
        <f t="shared" si="0"/>
        <v>37717964.759000652</v>
      </c>
      <c r="F33" s="100">
        <f>'[3]TICO 2'!W47</f>
        <v>5925066</v>
      </c>
      <c r="G33" s="23">
        <f t="shared" si="2"/>
        <v>0.157</v>
      </c>
      <c r="J33" s="2"/>
    </row>
    <row r="34" spans="1:10" x14ac:dyDescent="0.2">
      <c r="A34" t="str">
        <f t="shared" si="1"/>
        <v>2003</v>
      </c>
      <c r="C34" s="100">
        <f>'[3]TICO 2'!Q48</f>
        <v>23423208</v>
      </c>
      <c r="D34" s="35">
        <f>'6.4'!D34</f>
        <v>2.1137730087108535</v>
      </c>
      <c r="E34" s="31">
        <f t="shared" si="0"/>
        <v>49511344.847820133</v>
      </c>
      <c r="F34" s="100">
        <f>'[3]TICO 2'!W48</f>
        <v>17213668</v>
      </c>
      <c r="G34" s="23">
        <f t="shared" si="2"/>
        <v>0.34799999999999998</v>
      </c>
      <c r="J34" s="2"/>
    </row>
    <row r="35" spans="1:10" x14ac:dyDescent="0.2">
      <c r="A35" t="str">
        <f t="shared" si="1"/>
        <v>2004</v>
      </c>
      <c r="B35" s="59"/>
      <c r="C35" s="100">
        <f>'[3]TICO 2'!Q49</f>
        <v>27306202</v>
      </c>
      <c r="D35" s="35">
        <f>'6.4'!D35</f>
        <v>2.0155786842906278</v>
      </c>
      <c r="E35" s="31">
        <f t="shared" si="0"/>
        <v>55037798.700134106</v>
      </c>
      <c r="F35" s="100">
        <f>'[3]TICO 2'!W49</f>
        <v>990613</v>
      </c>
      <c r="G35" s="23">
        <f t="shared" si="2"/>
        <v>1.7999999999999999E-2</v>
      </c>
      <c r="J35" s="2"/>
    </row>
    <row r="36" spans="1:10" x14ac:dyDescent="0.2">
      <c r="A36" t="str">
        <f t="shared" si="1"/>
        <v>2005</v>
      </c>
      <c r="C36" s="100">
        <f>'[3]TICO 2'!Q50</f>
        <v>31012304</v>
      </c>
      <c r="D36" s="35">
        <f>'6.4'!D36</f>
        <v>1.9286250079478591</v>
      </c>
      <c r="E36" s="31">
        <f t="shared" si="0"/>
        <v>59811105.04848142</v>
      </c>
      <c r="F36" s="100">
        <f>'[3]TICO 2'!W50</f>
        <v>115989785</v>
      </c>
      <c r="G36" s="23">
        <f t="shared" si="2"/>
        <v>1.9390000000000001</v>
      </c>
      <c r="J36" s="2"/>
    </row>
    <row r="37" spans="1:10" x14ac:dyDescent="0.2">
      <c r="A37" t="str">
        <f t="shared" si="1"/>
        <v>2006</v>
      </c>
      <c r="C37" s="100">
        <f>'[3]TICO 2'!Q51</f>
        <v>36545725</v>
      </c>
      <c r="D37" s="35">
        <f>'6.4'!D37</f>
        <v>1.9239964550740354</v>
      </c>
      <c r="E37" s="31">
        <f>C37*D37</f>
        <v>70313845.348110557</v>
      </c>
      <c r="F37" s="100">
        <f>'[3]TICO 2'!W51</f>
        <v>1842548</v>
      </c>
      <c r="G37" s="23">
        <f t="shared" si="2"/>
        <v>2.5999999999999999E-2</v>
      </c>
      <c r="J37" s="2"/>
    </row>
    <row r="38" spans="1:10" x14ac:dyDescent="0.2">
      <c r="A38" t="str">
        <f t="shared" si="1"/>
        <v>2007</v>
      </c>
      <c r="B38" s="50"/>
      <c r="C38" s="100">
        <f>'[3]TICO 2'!Q52</f>
        <v>69945120</v>
      </c>
      <c r="D38" s="35">
        <f>'6.4'!D38</f>
        <v>1.8364634726042233</v>
      </c>
      <c r="E38" s="31">
        <f t="shared" si="0"/>
        <v>128451657.96691911</v>
      </c>
      <c r="F38" s="100">
        <f>'[3]TICO 2'!W52</f>
        <v>10105722</v>
      </c>
      <c r="G38" s="53">
        <f t="shared" si="2"/>
        <v>7.9000000000000001E-2</v>
      </c>
      <c r="J38" s="2"/>
    </row>
    <row r="39" spans="1:10" x14ac:dyDescent="0.2">
      <c r="A39" t="str">
        <f t="shared" si="1"/>
        <v>2008</v>
      </c>
      <c r="B39" s="59"/>
      <c r="C39" s="100">
        <f>'[3]TICO 2'!Q53</f>
        <v>110187567</v>
      </c>
      <c r="D39" s="35">
        <f>'6.4'!D39</f>
        <v>1.7320113079002217</v>
      </c>
      <c r="E39" s="31">
        <f t="shared" si="0"/>
        <v>190846112.0340133</v>
      </c>
      <c r="F39" s="100">
        <f>'[3]TICO 2'!W53</f>
        <v>694640836</v>
      </c>
      <c r="G39" s="53">
        <f t="shared" si="2"/>
        <v>3.64</v>
      </c>
      <c r="J39" s="2"/>
    </row>
    <row r="40" spans="1:10" s="59" customFormat="1" x14ac:dyDescent="0.2">
      <c r="A40" t="str">
        <f t="shared" si="1"/>
        <v>2009</v>
      </c>
      <c r="B40" s="45"/>
      <c r="C40" s="100">
        <f>'[3]TICO 2'!Q54</f>
        <v>128275387</v>
      </c>
      <c r="D40" s="35">
        <f>'6.4'!D40</f>
        <v>1.5736409509560276</v>
      </c>
      <c r="E40" s="31">
        <f t="shared" si="0"/>
        <v>201859401.98293248</v>
      </c>
      <c r="F40" s="100">
        <f>'[3]TICO 2'!W54</f>
        <v>2522159</v>
      </c>
      <c r="G40" s="53">
        <f t="shared" si="2"/>
        <v>1.2E-2</v>
      </c>
      <c r="H40"/>
      <c r="I40"/>
      <c r="J40" s="2"/>
    </row>
    <row r="41" spans="1:10" x14ac:dyDescent="0.2">
      <c r="A41" t="str">
        <f t="shared" si="1"/>
        <v>2010</v>
      </c>
      <c r="B41" s="45"/>
      <c r="C41" s="100">
        <f>'[3]TICO 2'!Q55</f>
        <v>143236007</v>
      </c>
      <c r="D41" s="35">
        <f>'6.4'!D41</f>
        <v>1.4778548957967299</v>
      </c>
      <c r="E41" s="31">
        <f t="shared" si="0"/>
        <v>211682034.19932467</v>
      </c>
      <c r="F41" s="100">
        <f>'[3]TICO 2'!W55</f>
        <v>9656553</v>
      </c>
      <c r="G41" s="53">
        <f t="shared" si="2"/>
        <v>4.5999999999999999E-2</v>
      </c>
      <c r="J41" s="2"/>
    </row>
    <row r="42" spans="1:10" x14ac:dyDescent="0.2">
      <c r="A42" t="str">
        <f t="shared" si="1"/>
        <v>2011</v>
      </c>
      <c r="B42" s="45"/>
      <c r="C42" s="100">
        <f>'[3]TICO 2'!Q56</f>
        <v>151387931</v>
      </c>
      <c r="D42" s="35">
        <f>'6.4'!D42</f>
        <v>1.4413525093000297</v>
      </c>
      <c r="E42" s="31">
        <f t="shared" si="0"/>
        <v>218203374.22458977</v>
      </c>
      <c r="F42" s="100">
        <f>'[3]TICO 2'!W56</f>
        <v>59069922</v>
      </c>
      <c r="G42" s="53">
        <f t="shared" si="2"/>
        <v>0.27100000000000002</v>
      </c>
      <c r="J42" s="2"/>
    </row>
    <row r="43" spans="1:10" s="59" customFormat="1" x14ac:dyDescent="0.2">
      <c r="A43" t="str">
        <f t="shared" si="1"/>
        <v>2012</v>
      </c>
      <c r="B43" s="45"/>
      <c r="C43" s="100">
        <f>'[3]TICO 2'!Q57</f>
        <v>170159709</v>
      </c>
      <c r="D43" s="35">
        <f>'6.4'!D43</f>
        <v>1.3727418575616306</v>
      </c>
      <c r="E43" s="31">
        <f t="shared" si="0"/>
        <v>233585355.01480651</v>
      </c>
      <c r="F43" s="100">
        <f>'[3]TICO 2'!W57</f>
        <v>21196895</v>
      </c>
      <c r="G43" s="53">
        <f t="shared" ref="G43:G51" si="3">ROUND(F43/E43,3)</f>
        <v>9.0999999999999998E-2</v>
      </c>
      <c r="H43"/>
      <c r="I43"/>
      <c r="J43" s="2"/>
    </row>
    <row r="44" spans="1:10" s="59" customFormat="1" x14ac:dyDescent="0.2">
      <c r="A44" t="str">
        <f t="shared" si="1"/>
        <v>2013</v>
      </c>
      <c r="B44" s="45"/>
      <c r="C44" s="100">
        <f>'[3]TICO 2'!Q58</f>
        <v>183495510</v>
      </c>
      <c r="D44" s="35">
        <f>'6.4'!D44</f>
        <v>1.3075493593415155</v>
      </c>
      <c r="E44" s="31">
        <f t="shared" si="0"/>
        <v>239929436.54254466</v>
      </c>
      <c r="F44" s="100">
        <f>'[3]TICO 2'!W58</f>
        <v>6485250</v>
      </c>
      <c r="G44" s="53">
        <f t="shared" si="3"/>
        <v>2.7E-2</v>
      </c>
      <c r="H44"/>
      <c r="I44"/>
      <c r="J44" s="2"/>
    </row>
    <row r="45" spans="1:10" s="59" customFormat="1" x14ac:dyDescent="0.2">
      <c r="A45" t="str">
        <f t="shared" si="1"/>
        <v>2014</v>
      </c>
      <c r="B45" s="45"/>
      <c r="C45" s="100">
        <f>'[3]TICO 2'!Q59</f>
        <v>197640983</v>
      </c>
      <c r="D45" s="35">
        <f>'6.4'!D45</f>
        <v>1.2455465141622073</v>
      </c>
      <c r="E45" s="120">
        <f t="shared" ref="E45:E51" si="4">C45*D45</f>
        <v>246171037.43124208</v>
      </c>
      <c r="F45" s="100">
        <f>'[3]TICO 2'!W59</f>
        <v>7234983</v>
      </c>
      <c r="G45" s="53">
        <f t="shared" si="3"/>
        <v>2.9000000000000001E-2</v>
      </c>
      <c r="H45"/>
      <c r="I45"/>
      <c r="J45" s="2"/>
    </row>
    <row r="46" spans="1:10" s="59" customFormat="1" x14ac:dyDescent="0.2">
      <c r="A46" t="str">
        <f t="shared" si="1"/>
        <v>2015</v>
      </c>
      <c r="B46" s="45"/>
      <c r="C46" s="100">
        <f>'[3]TICO 2'!Q60</f>
        <v>212320998</v>
      </c>
      <c r="D46" s="35">
        <f>'6.4'!D46</f>
        <v>1.1864644900727379</v>
      </c>
      <c r="E46" s="120">
        <f t="shared" si="4"/>
        <v>251911324.62380481</v>
      </c>
      <c r="F46" s="100">
        <f>'[3]TICO 2'!W60</f>
        <v>90056094</v>
      </c>
      <c r="G46" s="53">
        <f t="shared" si="3"/>
        <v>0.35699999999999998</v>
      </c>
      <c r="H46"/>
      <c r="I46"/>
      <c r="J46" s="2"/>
    </row>
    <row r="47" spans="1:10" x14ac:dyDescent="0.2">
      <c r="A47" t="str">
        <f t="shared" si="1"/>
        <v>2016</v>
      </c>
      <c r="B47" s="45"/>
      <c r="C47" s="100">
        <f>'[3]TICO 2'!Q61</f>
        <v>218795204</v>
      </c>
      <c r="D47" s="35">
        <f>'6.4'!D47</f>
        <v>1.1303877408726286</v>
      </c>
      <c r="E47" s="120">
        <f t="shared" si="4"/>
        <v>247323416.36332592</v>
      </c>
      <c r="F47" s="100">
        <f>'[3]TICO 2'!W61</f>
        <v>15013827</v>
      </c>
      <c r="G47" s="53">
        <f t="shared" si="3"/>
        <v>6.0999999999999999E-2</v>
      </c>
      <c r="J47" s="2"/>
    </row>
    <row r="48" spans="1:10" s="50" customFormat="1" x14ac:dyDescent="0.2">
      <c r="A48" t="str">
        <f t="shared" si="1"/>
        <v>2017</v>
      </c>
      <c r="B48" s="45"/>
      <c r="C48" s="100">
        <f>'[3]TICO 2'!Q62</f>
        <v>212533686</v>
      </c>
      <c r="D48" s="101">
        <f>'6.4'!D48</f>
        <v>1.1025000000000003</v>
      </c>
      <c r="E48" s="120">
        <f t="shared" si="4"/>
        <v>234318388.81500006</v>
      </c>
      <c r="F48" s="100">
        <f>'[3]TICO 2'!W62</f>
        <v>711304289</v>
      </c>
      <c r="G48" s="53">
        <f t="shared" si="3"/>
        <v>3.036</v>
      </c>
      <c r="J48" s="2"/>
    </row>
    <row r="49" spans="1:12" s="50" customFormat="1" x14ac:dyDescent="0.2">
      <c r="A49" t="str">
        <f t="shared" si="1"/>
        <v>2018</v>
      </c>
      <c r="B49" s="45"/>
      <c r="C49" s="100">
        <f>'[3]TICO 2'!Q63</f>
        <v>201509514</v>
      </c>
      <c r="D49" s="101">
        <f>'6.4'!D49</f>
        <v>1.0768211446107889</v>
      </c>
      <c r="E49" s="120">
        <f t="shared" si="4"/>
        <v>216989705.5154438</v>
      </c>
      <c r="F49" s="100">
        <f>'[3]TICO 2'!W63</f>
        <v>9562329</v>
      </c>
      <c r="G49" s="53">
        <f t="shared" si="3"/>
        <v>4.3999999999999997E-2</v>
      </c>
      <c r="J49" s="2"/>
    </row>
    <row r="50" spans="1:12" s="50" customFormat="1" x14ac:dyDescent="0.2">
      <c r="A50" t="str">
        <f t="shared" si="1"/>
        <v>2019</v>
      </c>
      <c r="B50" s="45"/>
      <c r="C50" s="100">
        <f>'[3]TICO 2'!Q64</f>
        <v>194433202</v>
      </c>
      <c r="D50" s="101">
        <f>'6.4'!D50</f>
        <v>1.0499999999999947</v>
      </c>
      <c r="E50" s="120">
        <f t="shared" si="4"/>
        <v>204154862.09999898</v>
      </c>
      <c r="F50" s="100">
        <f>'[3]TICO 2'!W64</f>
        <v>16737398</v>
      </c>
      <c r="G50" s="53">
        <f t="shared" si="3"/>
        <v>8.2000000000000003E-2</v>
      </c>
      <c r="J50" s="2"/>
    </row>
    <row r="51" spans="1:12" s="50" customFormat="1" x14ac:dyDescent="0.2">
      <c r="A51" t="str">
        <f t="shared" si="1"/>
        <v>2020</v>
      </c>
      <c r="B51" s="45"/>
      <c r="C51" s="100">
        <f>'[3]TICO 2'!Q65</f>
        <v>186265421</v>
      </c>
      <c r="D51" s="101">
        <f>'6.4'!D51</f>
        <v>1.0500000000000036</v>
      </c>
      <c r="E51" s="120">
        <f t="shared" si="4"/>
        <v>195578692.05000067</v>
      </c>
      <c r="F51" s="100">
        <f>'[3]TICO 2'!W65</f>
        <v>40866516</v>
      </c>
      <c r="G51" s="53">
        <f t="shared" si="3"/>
        <v>0.20899999999999999</v>
      </c>
      <c r="J51" s="2"/>
    </row>
    <row r="52" spans="1:12" s="50" customFormat="1" x14ac:dyDescent="0.2">
      <c r="A52" s="25">
        <v>2021</v>
      </c>
      <c r="B52" s="45"/>
      <c r="C52" s="100">
        <f>'[3]TICO 2'!Q66</f>
        <v>186593127</v>
      </c>
      <c r="D52" s="101">
        <f>'6.4'!D52</f>
        <v>1.0500000000000056</v>
      </c>
      <c r="E52" s="120">
        <f>C52*D52</f>
        <v>195922783.35000104</v>
      </c>
      <c r="F52" s="100">
        <f>'[3]TICO 2'!W66</f>
        <v>56745728</v>
      </c>
      <c r="G52" s="53">
        <f>ROUND(F52/E52,3)</f>
        <v>0.28999999999999998</v>
      </c>
      <c r="J52" s="2"/>
    </row>
    <row r="53" spans="1:12" s="59" customFormat="1" x14ac:dyDescent="0.2">
      <c r="A53" s="307"/>
      <c r="B53" s="307"/>
      <c r="C53" s="307"/>
      <c r="D53" s="307"/>
      <c r="E53" s="307"/>
      <c r="F53" s="307"/>
      <c r="G53" s="307"/>
      <c r="H53"/>
      <c r="I53"/>
      <c r="J53" s="2"/>
    </row>
    <row r="54" spans="1:12" x14ac:dyDescent="0.2">
      <c r="A54" s="59" t="s">
        <v>9</v>
      </c>
      <c r="B54" s="59"/>
      <c r="C54" s="31">
        <f>SUM(C14:C52)</f>
        <v>2891326072.7369499</v>
      </c>
      <c r="D54" s="31"/>
      <c r="E54" s="31">
        <f>SUM(E14:E52)</f>
        <v>3960955407.2957945</v>
      </c>
      <c r="F54" s="31">
        <f>SUM(F14:F52)</f>
        <v>1983194327.8</v>
      </c>
      <c r="G54" s="23">
        <f>ROUND(F54/E54,3)</f>
        <v>0.501</v>
      </c>
      <c r="J54" s="2"/>
    </row>
    <row r="55" spans="1:12" ht="10.5" thickBot="1" x14ac:dyDescent="0.25">
      <c r="A55" s="6"/>
      <c r="B55" s="6"/>
      <c r="C55" s="6"/>
      <c r="D55" s="6"/>
      <c r="E55" s="6"/>
      <c r="F55" s="6"/>
      <c r="G55" s="6"/>
      <c r="J55" s="2"/>
      <c r="K55" t="s">
        <v>217</v>
      </c>
      <c r="L55" t="s">
        <v>218</v>
      </c>
    </row>
    <row r="56" spans="1:12" ht="10.5" thickTop="1" x14ac:dyDescent="0.2">
      <c r="J56" s="2"/>
      <c r="K56" s="84">
        <f>'6.4'!K$55</f>
        <v>44469</v>
      </c>
      <c r="L56" s="84">
        <f>'6.4'!L$55</f>
        <v>44561</v>
      </c>
    </row>
    <row r="57" spans="1:12" s="59" customFormat="1" x14ac:dyDescent="0.2">
      <c r="A57" t="s">
        <v>17</v>
      </c>
      <c r="B57"/>
      <c r="C57"/>
      <c r="D57"/>
      <c r="E57"/>
      <c r="F57" s="45"/>
      <c r="G57"/>
      <c r="H57"/>
      <c r="I57"/>
      <c r="J57" s="2"/>
    </row>
    <row r="58" spans="1:12" x14ac:dyDescent="0.2">
      <c r="A58" s="22" t="str">
        <f>C12&amp;" Provided by TDI.  Accident years ending "&amp;TEXT($K$56,"m/d/xx")&amp;" as of "&amp;TEXT($L$56,"m/d/yyyy")</f>
        <v>(2) Provided by TDI.  Accident years ending 9/30/xx as of 12/31/2021</v>
      </c>
      <c r="J58" s="2"/>
    </row>
    <row r="59" spans="1:12" x14ac:dyDescent="0.2">
      <c r="A59" s="22" t="str">
        <f>'6.4'!A59</f>
        <v>(3) 1987 and prior judgementally selected; 1988 - 2021 based on TWIA on-level factors</v>
      </c>
      <c r="J59" s="2"/>
    </row>
    <row r="60" spans="1:12" x14ac:dyDescent="0.2">
      <c r="A60" s="22" t="str">
        <f>E12&amp;" = "&amp;C12&amp;" * "&amp;D12</f>
        <v>(4) = (2) * (3)</v>
      </c>
      <c r="J60" s="2"/>
    </row>
    <row r="61" spans="1:12" x14ac:dyDescent="0.2">
      <c r="A61" s="22" t="str">
        <f>'6.5'!A62</f>
        <v>(5) Provided by TDI. Accidn't yrs ending 9/30/xx as of 12/31/2021</v>
      </c>
      <c r="J61" s="2"/>
    </row>
    <row r="62" spans="1:12" x14ac:dyDescent="0.2">
      <c r="A62" s="22" t="str">
        <f>G12&amp;" = "&amp;F12&amp;" / "&amp;E12</f>
        <v>(6) = (5) / (4)</v>
      </c>
      <c r="J62" s="2"/>
    </row>
    <row r="63" spans="1:12" ht="10.5" thickBot="1" x14ac:dyDescent="0.25">
      <c r="B63" s="22"/>
      <c r="D63" s="60"/>
      <c r="E63" s="60"/>
      <c r="F63" s="60"/>
      <c r="G63" s="23"/>
      <c r="J63" s="2"/>
    </row>
    <row r="64" spans="1:12" ht="10.5" thickBot="1" x14ac:dyDescent="0.25">
      <c r="A64" s="4"/>
      <c r="B64" s="5"/>
      <c r="C64" s="5"/>
      <c r="D64" s="5"/>
      <c r="E64" s="5"/>
      <c r="F64" s="5"/>
      <c r="G64" s="5"/>
      <c r="H64" s="5"/>
      <c r="I64" s="5"/>
      <c r="J64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3">
    <tabColor rgb="FF92D050"/>
  </sheetPr>
  <dimension ref="A1:O64"/>
  <sheetViews>
    <sheetView showGridLines="0" topLeftCell="A46" workbookViewId="0">
      <selection activeCell="F22" sqref="F22"/>
    </sheetView>
  </sheetViews>
  <sheetFormatPr defaultColWidth="11.33203125" defaultRowHeight="10" x14ac:dyDescent="0.2"/>
  <cols>
    <col min="1" max="1" width="6.33203125" bestFit="1" customWidth="1"/>
    <col min="2" max="2" width="11.33203125" customWidth="1"/>
    <col min="3" max="5" width="15.33203125" customWidth="1"/>
    <col min="6" max="8" width="14" customWidth="1"/>
    <col min="9" max="9" width="11.33203125" customWidth="1"/>
    <col min="11" max="11" width="12.44140625" customWidth="1"/>
    <col min="12" max="12" width="13.109375" customWidth="1"/>
  </cols>
  <sheetData>
    <row r="1" spans="1:15" ht="10.5" x14ac:dyDescent="0.25">
      <c r="A1" s="8" t="str">
        <f>'1'!$A$1</f>
        <v>Texas Windstorm Insurance Association</v>
      </c>
      <c r="B1" s="12"/>
      <c r="I1" s="7" t="s">
        <v>106</v>
      </c>
      <c r="J1" s="1"/>
      <c r="N1" t="s">
        <v>428</v>
      </c>
      <c r="O1" t="s">
        <v>452</v>
      </c>
    </row>
    <row r="2" spans="1:15" ht="10.5" x14ac:dyDescent="0.25">
      <c r="A2" s="8" t="str">
        <f>'1'!$A$2</f>
        <v>Residential Property - Wind &amp; Hail</v>
      </c>
      <c r="B2" s="12"/>
      <c r="I2" s="7" t="s">
        <v>139</v>
      </c>
      <c r="J2" s="2"/>
      <c r="N2" t="s">
        <v>428</v>
      </c>
      <c r="O2" t="s">
        <v>458</v>
      </c>
    </row>
    <row r="3" spans="1:15" ht="10.5" x14ac:dyDescent="0.25">
      <c r="A3" s="8" t="str">
        <f>'1'!$A$3</f>
        <v>Rate Level Review</v>
      </c>
      <c r="B3" s="12"/>
      <c r="J3" s="2"/>
      <c r="N3" t="s">
        <v>428</v>
      </c>
      <c r="O3" t="s">
        <v>459</v>
      </c>
    </row>
    <row r="4" spans="1:15" x14ac:dyDescent="0.2">
      <c r="A4" t="s">
        <v>107</v>
      </c>
      <c r="B4" s="12"/>
      <c r="J4" s="2"/>
    </row>
    <row r="5" spans="1:15" x14ac:dyDescent="0.2">
      <c r="A5" t="s">
        <v>50</v>
      </c>
      <c r="B5" s="12"/>
      <c r="J5" s="2"/>
    </row>
    <row r="6" spans="1:15" x14ac:dyDescent="0.2">
      <c r="J6" s="2"/>
    </row>
    <row r="7" spans="1:15" ht="10.5" thickBot="1" x14ac:dyDescent="0.25">
      <c r="A7" s="6"/>
      <c r="B7" s="6"/>
      <c r="C7" s="6"/>
      <c r="D7" s="6"/>
      <c r="E7" s="6"/>
      <c r="F7" s="6"/>
      <c r="G7" s="6"/>
      <c r="J7" s="2"/>
    </row>
    <row r="8" spans="1:15" ht="10.5" thickTop="1" x14ac:dyDescent="0.2">
      <c r="J8" s="2"/>
    </row>
    <row r="9" spans="1:15" x14ac:dyDescent="0.2">
      <c r="C9" s="22"/>
      <c r="D9" t="s">
        <v>37</v>
      </c>
      <c r="E9" t="s">
        <v>44</v>
      </c>
      <c r="G9" s="11"/>
      <c r="J9" s="2"/>
      <c r="K9" s="27"/>
    </row>
    <row r="10" spans="1:15" x14ac:dyDescent="0.2">
      <c r="A10" t="s">
        <v>53</v>
      </c>
      <c r="C10" t="s">
        <v>126</v>
      </c>
      <c r="D10" t="s">
        <v>136</v>
      </c>
      <c r="E10" t="s">
        <v>42</v>
      </c>
      <c r="F10" t="s">
        <v>87</v>
      </c>
      <c r="G10" t="s">
        <v>87</v>
      </c>
      <c r="J10" s="2"/>
      <c r="K10" s="22"/>
    </row>
    <row r="11" spans="1:15" x14ac:dyDescent="0.2">
      <c r="A11" s="9" t="s">
        <v>54</v>
      </c>
      <c r="B11" s="9"/>
      <c r="C11" s="9" t="s">
        <v>127</v>
      </c>
      <c r="D11" s="9" t="s">
        <v>137</v>
      </c>
      <c r="E11" s="9" t="s">
        <v>43</v>
      </c>
      <c r="F11" s="9" t="s">
        <v>41</v>
      </c>
      <c r="G11" s="9" t="s">
        <v>78</v>
      </c>
      <c r="J11" s="2"/>
      <c r="K11" s="52"/>
    </row>
    <row r="12" spans="1:15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J12" s="2"/>
    </row>
    <row r="13" spans="1:15" x14ac:dyDescent="0.2">
      <c r="J13" s="2"/>
    </row>
    <row r="14" spans="1:15" x14ac:dyDescent="0.2">
      <c r="A14" s="181">
        <v>1983</v>
      </c>
      <c r="C14" s="38">
        <v>16247909</v>
      </c>
      <c r="D14" s="35">
        <f>'6.4'!D14</f>
        <v>2.252543431048422</v>
      </c>
      <c r="E14" s="31">
        <f t="shared" ref="E14:E45" si="0">C14*D14</f>
        <v>36599120.686222538</v>
      </c>
      <c r="F14" s="38">
        <v>61752490</v>
      </c>
      <c r="G14" s="23">
        <f>F14/E14</f>
        <v>1.6872670392664995</v>
      </c>
      <c r="J14" s="2"/>
      <c r="K14" s="7"/>
      <c r="M14" s="19"/>
    </row>
    <row r="15" spans="1:15" x14ac:dyDescent="0.2">
      <c r="A15" t="str">
        <f>TEXT(A14+1,"#")</f>
        <v>1984</v>
      </c>
      <c r="C15" s="38">
        <v>11008847</v>
      </c>
      <c r="D15" s="35">
        <f>'6.4'!D15</f>
        <v>2.252543431048422</v>
      </c>
      <c r="E15" s="31">
        <f t="shared" si="0"/>
        <v>24797905.993267126</v>
      </c>
      <c r="F15" s="38">
        <v>9535536</v>
      </c>
      <c r="G15" s="23">
        <f>F15/E15</f>
        <v>0.3845298874263412</v>
      </c>
      <c r="J15" s="2"/>
      <c r="K15" s="7"/>
      <c r="M15" s="19"/>
    </row>
    <row r="16" spans="1:15" x14ac:dyDescent="0.2">
      <c r="A16" t="str">
        <f t="shared" ref="A16:A51" si="1">TEXT(A15+1,"#")</f>
        <v>1985</v>
      </c>
      <c r="C16" s="38">
        <v>15662193</v>
      </c>
      <c r="D16" s="35">
        <f>'6.4'!D16</f>
        <v>2.252543431048422</v>
      </c>
      <c r="E16" s="31">
        <f t="shared" si="0"/>
        <v>35279769.95796258</v>
      </c>
      <c r="F16" s="38">
        <v>4532749</v>
      </c>
      <c r="G16" s="23">
        <f>F16/E16</f>
        <v>0.12848011779558008</v>
      </c>
      <c r="J16" s="2"/>
      <c r="K16" s="7"/>
      <c r="M16" s="19"/>
    </row>
    <row r="17" spans="1:13" x14ac:dyDescent="0.2">
      <c r="A17" t="str">
        <f t="shared" si="1"/>
        <v>1986</v>
      </c>
      <c r="C17" s="38">
        <v>19854927</v>
      </c>
      <c r="D17" s="35">
        <f>'6.4'!D17</f>
        <v>2.252543431048422</v>
      </c>
      <c r="E17" s="31">
        <f t="shared" si="0"/>
        <v>44724085.387795955</v>
      </c>
      <c r="F17" s="38">
        <v>6306903</v>
      </c>
      <c r="G17" s="23">
        <f t="shared" ref="G17:G45" si="2">ROUND(F17/E17,3)</f>
        <v>0.14099999999999999</v>
      </c>
      <c r="J17" s="2"/>
      <c r="K17" s="7"/>
      <c r="M17" s="19"/>
    </row>
    <row r="18" spans="1:13" x14ac:dyDescent="0.2">
      <c r="A18" t="str">
        <f t="shared" si="1"/>
        <v>1987</v>
      </c>
      <c r="C18" s="38">
        <v>22542928</v>
      </c>
      <c r="D18" s="35">
        <f>'6.4'!D18</f>
        <v>2.252543431048422</v>
      </c>
      <c r="E18" s="31">
        <f t="shared" si="0"/>
        <v>50778924.382997543</v>
      </c>
      <c r="F18" s="38">
        <v>3739010</v>
      </c>
      <c r="G18" s="23">
        <f t="shared" si="2"/>
        <v>7.3999999999999996E-2</v>
      </c>
      <c r="J18" s="2"/>
      <c r="K18" s="7"/>
      <c r="M18" s="19"/>
    </row>
    <row r="19" spans="1:13" x14ac:dyDescent="0.2">
      <c r="A19" t="str">
        <f t="shared" si="1"/>
        <v>1988</v>
      </c>
      <c r="C19" s="207">
        <v>24744994</v>
      </c>
      <c r="D19" s="35">
        <f>'6.4'!D19</f>
        <v>2.3150497749726844</v>
      </c>
      <c r="E19" s="31">
        <f>C19*D19</f>
        <v>57285892.791400425</v>
      </c>
      <c r="F19" s="206">
        <v>4139098</v>
      </c>
      <c r="G19" s="23">
        <f t="shared" si="2"/>
        <v>7.1999999999999995E-2</v>
      </c>
      <c r="J19" s="2"/>
      <c r="K19" s="7"/>
      <c r="M19" s="19"/>
    </row>
    <row r="20" spans="1:13" x14ac:dyDescent="0.2">
      <c r="A20" t="str">
        <f t="shared" si="1"/>
        <v>1989</v>
      </c>
      <c r="C20" s="207">
        <v>22159987</v>
      </c>
      <c r="D20" s="35">
        <f>'6.4'!D20</f>
        <v>2.3811241343006575</v>
      </c>
      <c r="E20" s="31">
        <f t="shared" si="0"/>
        <v>52765679.861488827</v>
      </c>
      <c r="F20" s="207">
        <v>8884751</v>
      </c>
      <c r="G20" s="23">
        <f t="shared" si="2"/>
        <v>0.16800000000000001</v>
      </c>
      <c r="J20" s="2"/>
      <c r="K20" s="7"/>
      <c r="M20" s="19"/>
    </row>
    <row r="21" spans="1:13" x14ac:dyDescent="0.2">
      <c r="A21" t="str">
        <f t="shared" si="1"/>
        <v>1990</v>
      </c>
      <c r="C21" s="207">
        <v>21480544</v>
      </c>
      <c r="D21" s="35">
        <f>'6.4'!D21</f>
        <v>2.3447800436244783</v>
      </c>
      <c r="E21" s="31">
        <f t="shared" si="0"/>
        <v>50367150.897397526</v>
      </c>
      <c r="F21" s="207">
        <v>11997188</v>
      </c>
      <c r="G21" s="23">
        <f t="shared" si="2"/>
        <v>0.23799999999999999</v>
      </c>
      <c r="J21" s="2"/>
      <c r="K21" s="7"/>
      <c r="M21" s="19"/>
    </row>
    <row r="22" spans="1:13" x14ac:dyDescent="0.2">
      <c r="A22" t="str">
        <f t="shared" si="1"/>
        <v>1991</v>
      </c>
      <c r="B22" s="22"/>
      <c r="C22" s="100">
        <f>'[3]TICO 2'!R36</f>
        <v>25239134</v>
      </c>
      <c r="D22" s="35">
        <f>'6.4'!D22</f>
        <v>2.0529144384529867</v>
      </c>
      <c r="E22" s="31">
        <f>C22*D22</f>
        <v>51813782.602649681</v>
      </c>
      <c r="F22" s="100">
        <f>'[3]TICO 2'!X36</f>
        <v>10178608</v>
      </c>
      <c r="G22" s="23">
        <f t="shared" si="2"/>
        <v>0.19600000000000001</v>
      </c>
      <c r="J22" s="2"/>
      <c r="K22" s="7"/>
      <c r="M22" s="19"/>
    </row>
    <row r="23" spans="1:13" x14ac:dyDescent="0.2">
      <c r="A23" t="str">
        <f t="shared" si="1"/>
        <v>1992</v>
      </c>
      <c r="B23" s="22"/>
      <c r="C23" s="100">
        <f>'[3]TICO 2'!R37</f>
        <v>26718986.999999989</v>
      </c>
      <c r="D23" s="35">
        <f>'6.4'!D23</f>
        <v>2.5309904035721749</v>
      </c>
      <c r="E23" s="31">
        <f t="shared" si="0"/>
        <v>67625499.690169662</v>
      </c>
      <c r="F23" s="100">
        <f>'[3]TICO 2'!X37</f>
        <v>12221034</v>
      </c>
      <c r="G23" s="23">
        <f t="shared" si="2"/>
        <v>0.18099999999999999</v>
      </c>
      <c r="J23" s="2"/>
      <c r="K23" s="7"/>
      <c r="M23" s="19"/>
    </row>
    <row r="24" spans="1:13" x14ac:dyDescent="0.2">
      <c r="A24" t="str">
        <f t="shared" si="1"/>
        <v>1993</v>
      </c>
      <c r="B24" s="22"/>
      <c r="C24" s="100">
        <f>'[3]TICO 2'!R38</f>
        <v>31914206</v>
      </c>
      <c r="D24" s="35">
        <f>'6.4'!D24</f>
        <v>3.4926710673113193</v>
      </c>
      <c r="E24" s="31">
        <f t="shared" si="0"/>
        <v>111465823.93241331</v>
      </c>
      <c r="F24" s="100">
        <f>'[3]TICO 2'!X38</f>
        <v>17910197</v>
      </c>
      <c r="G24" s="23">
        <f t="shared" si="2"/>
        <v>0.161</v>
      </c>
      <c r="J24" s="2"/>
      <c r="K24" s="7"/>
      <c r="M24" s="19"/>
    </row>
    <row r="25" spans="1:13" x14ac:dyDescent="0.2">
      <c r="A25" t="str">
        <f t="shared" si="1"/>
        <v>1994</v>
      </c>
      <c r="C25" s="100">
        <f>'[3]TICO 2'!R39</f>
        <v>35133612</v>
      </c>
      <c r="D25" s="35">
        <f>'6.4'!D25</f>
        <v>3.0896705595446288</v>
      </c>
      <c r="E25" s="31">
        <f t="shared" si="0"/>
        <v>108551286.64686388</v>
      </c>
      <c r="F25" s="100">
        <f>'[3]TICO 2'!X39</f>
        <v>6968697</v>
      </c>
      <c r="G25" s="23">
        <f t="shared" si="2"/>
        <v>6.4000000000000001E-2</v>
      </c>
      <c r="J25" s="2"/>
    </row>
    <row r="26" spans="1:13" x14ac:dyDescent="0.2">
      <c r="A26" t="str">
        <f t="shared" si="1"/>
        <v>1995</v>
      </c>
      <c r="C26" s="100">
        <f>'[3]TICO 2'!R40</f>
        <v>34347927</v>
      </c>
      <c r="D26" s="35">
        <f>'6.4'!D26</f>
        <v>2.7463738307063363</v>
      </c>
      <c r="E26" s="31">
        <f t="shared" si="0"/>
        <v>94332247.851811603</v>
      </c>
      <c r="F26" s="100">
        <f>'[3]TICO 2'!X40</f>
        <v>20240594</v>
      </c>
      <c r="G26" s="23">
        <f t="shared" si="2"/>
        <v>0.215</v>
      </c>
      <c r="J26" s="2"/>
    </row>
    <row r="27" spans="1:13" x14ac:dyDescent="0.2">
      <c r="A27" t="str">
        <f t="shared" si="1"/>
        <v>1996</v>
      </c>
      <c r="C27" s="100">
        <f>'[3]TICO 2'!R41</f>
        <v>38349763.638891585</v>
      </c>
      <c r="D27" s="35">
        <f>'6.4'!D27</f>
        <v>2.4717364476357027</v>
      </c>
      <c r="E27" s="31">
        <f t="shared" si="0"/>
        <v>94790508.544462726</v>
      </c>
      <c r="F27" s="100">
        <f>'[3]TICO 2'!X41</f>
        <v>9046495</v>
      </c>
      <c r="G27" s="23">
        <f t="shared" si="2"/>
        <v>9.5000000000000001E-2</v>
      </c>
      <c r="J27" s="2"/>
    </row>
    <row r="28" spans="1:13" x14ac:dyDescent="0.2">
      <c r="A28" t="str">
        <f t="shared" si="1"/>
        <v>1997</v>
      </c>
      <c r="C28" s="100">
        <f>'[3]TICO 2'!R42</f>
        <v>42447730.530345351</v>
      </c>
      <c r="D28" s="35">
        <f>'6.4'!D28</f>
        <v>2.4717364476357027</v>
      </c>
      <c r="E28" s="31">
        <f t="shared" si="0"/>
        <v>104919602.67127338</v>
      </c>
      <c r="F28" s="100">
        <f>'[3]TICO 2'!X42</f>
        <v>8514675</v>
      </c>
      <c r="G28" s="23">
        <f t="shared" si="2"/>
        <v>8.1000000000000003E-2</v>
      </c>
      <c r="J28" s="2"/>
    </row>
    <row r="29" spans="1:13" x14ac:dyDescent="0.2">
      <c r="A29" t="str">
        <f t="shared" si="1"/>
        <v>1998</v>
      </c>
      <c r="C29" s="100">
        <f>'[3]TICO 2'!R43</f>
        <v>41427572.085624166</v>
      </c>
      <c r="D29" s="35">
        <f>'6.4'!D29</f>
        <v>2.4692671804552475</v>
      </c>
      <c r="E29" s="31">
        <f t="shared" si="0"/>
        <v>102295744.11697569</v>
      </c>
      <c r="F29" s="100">
        <f>'[3]TICO 2'!X43</f>
        <v>10127907</v>
      </c>
      <c r="G29" s="23">
        <f t="shared" si="2"/>
        <v>9.9000000000000005E-2</v>
      </c>
      <c r="J29" s="2"/>
    </row>
    <row r="30" spans="1:13" x14ac:dyDescent="0.2">
      <c r="A30" t="str">
        <f t="shared" si="1"/>
        <v>1999</v>
      </c>
      <c r="C30" s="100">
        <f>'[3]TICO 2'!R44</f>
        <v>34004814.583080493</v>
      </c>
      <c r="D30" s="35">
        <f>'6.4'!D30</f>
        <v>2.5884604847343118</v>
      </c>
      <c r="E30" s="31">
        <f t="shared" si="0"/>
        <v>88020118.839020923</v>
      </c>
      <c r="F30" s="100">
        <f>'[3]TICO 2'!X44</f>
        <v>8680187</v>
      </c>
      <c r="G30" s="23">
        <f t="shared" si="2"/>
        <v>9.9000000000000005E-2</v>
      </c>
      <c r="J30" s="2"/>
    </row>
    <row r="31" spans="1:13" x14ac:dyDescent="0.2">
      <c r="A31" t="str">
        <f t="shared" si="1"/>
        <v>2000</v>
      </c>
      <c r="C31" s="100">
        <f>'[3]TICO 2'!R45</f>
        <v>36439477.252283514</v>
      </c>
      <c r="D31" s="35">
        <f>'6.4'!D31</f>
        <v>2.6092385660329733</v>
      </c>
      <c r="E31" s="31">
        <f t="shared" si="0"/>
        <v>95079289.37273939</v>
      </c>
      <c r="F31" s="100">
        <f>'[3]TICO 2'!X45</f>
        <v>9518422</v>
      </c>
      <c r="G31" s="23">
        <f t="shared" si="2"/>
        <v>0.1</v>
      </c>
      <c r="J31" s="2"/>
    </row>
    <row r="32" spans="1:13" x14ac:dyDescent="0.2">
      <c r="A32" t="str">
        <f t="shared" si="1"/>
        <v>2001</v>
      </c>
      <c r="C32" s="100">
        <f>'[3]TICO 2'!R46</f>
        <v>32881662.327381182</v>
      </c>
      <c r="D32" s="35">
        <f>'6.4'!D32</f>
        <v>2.2927423481211551</v>
      </c>
      <c r="E32" s="31">
        <f t="shared" si="0"/>
        <v>75389179.694606856</v>
      </c>
      <c r="F32" s="100">
        <f>'[3]TICO 2'!X46</f>
        <v>23547404</v>
      </c>
      <c r="G32" s="23">
        <f t="shared" si="2"/>
        <v>0.312</v>
      </c>
      <c r="J32" s="2"/>
    </row>
    <row r="33" spans="1:10" x14ac:dyDescent="0.2">
      <c r="A33" t="str">
        <f t="shared" si="1"/>
        <v>2002</v>
      </c>
      <c r="C33" s="100">
        <f>'[3]TICO 2'!R47</f>
        <v>37396181</v>
      </c>
      <c r="D33" s="35">
        <f>'6.4'!D33</f>
        <v>2.1137730087108539</v>
      </c>
      <c r="E33" s="31">
        <f t="shared" si="0"/>
        <v>79047038.026665673</v>
      </c>
      <c r="F33" s="100">
        <f>'[3]TICO 2'!X47</f>
        <v>7950367</v>
      </c>
      <c r="G33" s="23">
        <f t="shared" si="2"/>
        <v>0.10100000000000001</v>
      </c>
      <c r="J33" s="2"/>
    </row>
    <row r="34" spans="1:10" x14ac:dyDescent="0.2">
      <c r="A34" t="str">
        <f t="shared" si="1"/>
        <v>2003</v>
      </c>
      <c r="B34" s="59"/>
      <c r="C34" s="100">
        <f>'[3]TICO 2'!R48</f>
        <v>49027236</v>
      </c>
      <c r="D34" s="35">
        <f>'6.4'!D34</f>
        <v>2.1137730087108535</v>
      </c>
      <c r="E34" s="31">
        <f t="shared" si="0"/>
        <v>103632448.14849707</v>
      </c>
      <c r="F34" s="100">
        <f>'[3]TICO 2'!X48</f>
        <v>10177909</v>
      </c>
      <c r="G34" s="23">
        <f t="shared" si="2"/>
        <v>9.8000000000000004E-2</v>
      </c>
      <c r="J34" s="2"/>
    </row>
    <row r="35" spans="1:10" x14ac:dyDescent="0.2">
      <c r="A35" t="str">
        <f t="shared" si="1"/>
        <v>2004</v>
      </c>
      <c r="C35" s="100">
        <f>'[3]TICO 2'!R49</f>
        <v>49927649</v>
      </c>
      <c r="D35" s="35">
        <f>'6.4'!D35</f>
        <v>2.0155786842906278</v>
      </c>
      <c r="E35" s="31">
        <f t="shared" si="0"/>
        <v>100633105.08114427</v>
      </c>
      <c r="F35" s="100">
        <f>'[3]TICO 2'!X49</f>
        <v>3738542</v>
      </c>
      <c r="G35" s="23">
        <f t="shared" si="2"/>
        <v>3.6999999999999998E-2</v>
      </c>
      <c r="J35" s="2"/>
    </row>
    <row r="36" spans="1:10" x14ac:dyDescent="0.2">
      <c r="A36" t="str">
        <f t="shared" si="1"/>
        <v>2005</v>
      </c>
      <c r="B36" s="59"/>
      <c r="C36" s="100">
        <f>'[3]TICO 2'!R50</f>
        <v>50116517</v>
      </c>
      <c r="D36" s="35">
        <f>'6.4'!D36</f>
        <v>1.9286250079478591</v>
      </c>
      <c r="E36" s="31">
        <f>C36*D36</f>
        <v>96655967.997444019</v>
      </c>
      <c r="F36" s="100">
        <f>'[3]TICO 2'!X50</f>
        <v>34201898</v>
      </c>
      <c r="G36" s="23">
        <f t="shared" si="2"/>
        <v>0.35399999999999998</v>
      </c>
      <c r="J36" s="2"/>
    </row>
    <row r="37" spans="1:10" x14ac:dyDescent="0.2">
      <c r="A37" t="str">
        <f t="shared" si="1"/>
        <v>2006</v>
      </c>
      <c r="B37" s="45"/>
      <c r="C37" s="100">
        <f>'[3]TICO 2'!R51</f>
        <v>54703319</v>
      </c>
      <c r="D37" s="35">
        <f>'6.4'!D37</f>
        <v>1.9239964550740354</v>
      </c>
      <c r="E37" s="31">
        <f>C37*D37</f>
        <v>105248991.83678412</v>
      </c>
      <c r="F37" s="100">
        <f>'[3]TICO 2'!X51</f>
        <v>4909932</v>
      </c>
      <c r="G37" s="53">
        <f t="shared" si="2"/>
        <v>4.7E-2</v>
      </c>
      <c r="J37" s="2"/>
    </row>
    <row r="38" spans="1:10" x14ac:dyDescent="0.2">
      <c r="A38" t="str">
        <f t="shared" si="1"/>
        <v>2007</v>
      </c>
      <c r="C38" s="100">
        <f>'[3]TICO 2'!R52</f>
        <v>60982886</v>
      </c>
      <c r="D38" s="35">
        <f>'6.4'!D38</f>
        <v>1.8364634726042233</v>
      </c>
      <c r="E38" s="31">
        <f t="shared" si="0"/>
        <v>111992842.59298748</v>
      </c>
      <c r="F38" s="100">
        <f>'[3]TICO 2'!X52</f>
        <v>5242698</v>
      </c>
      <c r="G38" s="53">
        <f t="shared" si="2"/>
        <v>4.7E-2</v>
      </c>
      <c r="J38" s="2"/>
    </row>
    <row r="39" spans="1:10" s="59" customFormat="1" x14ac:dyDescent="0.2">
      <c r="A39" t="str">
        <f t="shared" si="1"/>
        <v>2008</v>
      </c>
      <c r="B39" s="45"/>
      <c r="C39" s="100">
        <f>'[3]TICO 2'!R53</f>
        <v>65015817</v>
      </c>
      <c r="D39" s="35">
        <f>'6.4'!D39</f>
        <v>1.7320113079002217</v>
      </c>
      <c r="E39" s="31">
        <f t="shared" si="0"/>
        <v>112608130.23637147</v>
      </c>
      <c r="F39" s="100">
        <f>'[3]TICO 2'!X53</f>
        <v>448708416</v>
      </c>
      <c r="G39" s="53">
        <f t="shared" si="2"/>
        <v>3.9849999999999999</v>
      </c>
      <c r="H39"/>
      <c r="I39"/>
      <c r="J39" s="2"/>
    </row>
    <row r="40" spans="1:10" x14ac:dyDescent="0.2">
      <c r="A40" t="str">
        <f t="shared" si="1"/>
        <v>2009</v>
      </c>
      <c r="B40" s="45"/>
      <c r="C40" s="100">
        <f>'[3]TICO 2'!R54</f>
        <v>70667217</v>
      </c>
      <c r="D40" s="35">
        <f>'6.4'!D40</f>
        <v>1.5736409509560276</v>
      </c>
      <c r="E40" s="31">
        <f t="shared" si="0"/>
        <v>111204826.56129596</v>
      </c>
      <c r="F40" s="100">
        <f>'[3]TICO 2'!X54</f>
        <v>9952501</v>
      </c>
      <c r="G40" s="53">
        <f t="shared" si="2"/>
        <v>8.8999999999999996E-2</v>
      </c>
      <c r="J40" s="2"/>
    </row>
    <row r="41" spans="1:10" x14ac:dyDescent="0.2">
      <c r="A41" t="str">
        <f t="shared" si="1"/>
        <v>2010</v>
      </c>
      <c r="B41" s="45"/>
      <c r="C41" s="100">
        <f>'[3]TICO 2'!R55</f>
        <v>70788779</v>
      </c>
      <c r="D41" s="35">
        <f>'6.4'!D41</f>
        <v>1.4778548957967299</v>
      </c>
      <c r="E41" s="31">
        <f t="shared" si="0"/>
        <v>104615543.61262274</v>
      </c>
      <c r="F41" s="100">
        <f>'[3]TICO 2'!X55</f>
        <v>10829031</v>
      </c>
      <c r="G41" s="53">
        <f t="shared" si="2"/>
        <v>0.104</v>
      </c>
      <c r="J41" s="2"/>
    </row>
    <row r="42" spans="1:10" s="59" customFormat="1" x14ac:dyDescent="0.2">
      <c r="A42" t="str">
        <f t="shared" si="1"/>
        <v>2011</v>
      </c>
      <c r="B42" s="51"/>
      <c r="C42" s="100">
        <f>'[3]TICO 2'!R56</f>
        <v>73325323</v>
      </c>
      <c r="D42" s="35">
        <f>'6.4'!D42</f>
        <v>1.4413525093000297</v>
      </c>
      <c r="E42" s="31">
        <f t="shared" si="0"/>
        <v>105687638.30128518</v>
      </c>
      <c r="F42" s="100">
        <f>'[3]TICO 2'!X56</f>
        <v>5993038</v>
      </c>
      <c r="G42" s="53">
        <f t="shared" si="2"/>
        <v>5.7000000000000002E-2</v>
      </c>
      <c r="H42"/>
      <c r="I42"/>
      <c r="J42" s="2"/>
    </row>
    <row r="43" spans="1:10" x14ac:dyDescent="0.2">
      <c r="A43" t="str">
        <f t="shared" si="1"/>
        <v>2012</v>
      </c>
      <c r="B43" s="45"/>
      <c r="C43" s="100">
        <f>'[3]TICO 2'!R57</f>
        <v>80858142</v>
      </c>
      <c r="D43" s="35">
        <f>'6.4'!D43</f>
        <v>1.3727418575616306</v>
      </c>
      <c r="E43" s="31">
        <f t="shared" si="0"/>
        <v>110997356.0480621</v>
      </c>
      <c r="F43" s="100">
        <f>'[3]TICO 2'!X57</f>
        <v>89893832</v>
      </c>
      <c r="G43" s="53">
        <f t="shared" si="2"/>
        <v>0.81</v>
      </c>
      <c r="J43" s="2"/>
    </row>
    <row r="44" spans="1:10" s="59" customFormat="1" x14ac:dyDescent="0.2">
      <c r="A44" t="str">
        <f t="shared" si="1"/>
        <v>2013</v>
      </c>
      <c r="B44" s="51"/>
      <c r="C44" s="100">
        <f>'[3]TICO 2'!R58</f>
        <v>90250703</v>
      </c>
      <c r="D44" s="35">
        <f>'6.4'!D44</f>
        <v>1.3075493593415155</v>
      </c>
      <c r="E44" s="31">
        <f t="shared" si="0"/>
        <v>118007248.8877714</v>
      </c>
      <c r="F44" s="100">
        <f>'[3]TICO 2'!X58</f>
        <v>22056019</v>
      </c>
      <c r="G44" s="53">
        <f t="shared" si="2"/>
        <v>0.187</v>
      </c>
      <c r="H44"/>
      <c r="I44"/>
      <c r="J44" s="2"/>
    </row>
    <row r="45" spans="1:10" s="59" customFormat="1" x14ac:dyDescent="0.2">
      <c r="A45" t="str">
        <f t="shared" si="1"/>
        <v>2014</v>
      </c>
      <c r="B45" s="51"/>
      <c r="C45" s="100">
        <f>'[3]TICO 2'!R59</f>
        <v>99916064</v>
      </c>
      <c r="D45" s="35">
        <f>'6.4'!D45</f>
        <v>1.2455465141622073</v>
      </c>
      <c r="E45" s="31">
        <f t="shared" si="0"/>
        <v>124450105.22400801</v>
      </c>
      <c r="F45" s="100">
        <f>'[3]TICO 2'!X59</f>
        <v>20930082</v>
      </c>
      <c r="G45" s="53">
        <f t="shared" si="2"/>
        <v>0.16800000000000001</v>
      </c>
      <c r="H45"/>
      <c r="I45"/>
      <c r="J45" s="2"/>
    </row>
    <row r="46" spans="1:10" s="59" customFormat="1" x14ac:dyDescent="0.2">
      <c r="A46" t="str">
        <f t="shared" si="1"/>
        <v>2015</v>
      </c>
      <c r="B46" s="51"/>
      <c r="C46" s="100">
        <f>'[3]TICO 2'!R60</f>
        <v>110352614</v>
      </c>
      <c r="D46" s="35">
        <f>'6.4'!D46</f>
        <v>1.1864644900727379</v>
      </c>
      <c r="E46" s="120">
        <f t="shared" ref="E46:E51" si="3">C46*D46</f>
        <v>130929457.89770368</v>
      </c>
      <c r="F46" s="100">
        <f>'[3]TICO 2'!X60</f>
        <v>43798404</v>
      </c>
      <c r="G46" s="53">
        <f t="shared" ref="G46:G50" si="4">ROUND(F46/E46,3)</f>
        <v>0.33500000000000002</v>
      </c>
      <c r="H46"/>
      <c r="I46"/>
      <c r="J46" s="2"/>
    </row>
    <row r="47" spans="1:10" x14ac:dyDescent="0.2">
      <c r="A47" t="str">
        <f t="shared" si="1"/>
        <v>2016</v>
      </c>
      <c r="B47" s="51"/>
      <c r="C47" s="100">
        <f>'[3]TICO 2'!R61</f>
        <v>119744188</v>
      </c>
      <c r="D47" s="35">
        <f>'6.4'!D47</f>
        <v>1.1303877408726286</v>
      </c>
      <c r="E47" s="120">
        <f t="shared" si="3"/>
        <v>135357362.15594733</v>
      </c>
      <c r="F47" s="100">
        <f>'[3]TICO 2'!X61</f>
        <v>46505613</v>
      </c>
      <c r="G47" s="53">
        <f t="shared" si="4"/>
        <v>0.34399999999999997</v>
      </c>
      <c r="J47" s="2"/>
    </row>
    <row r="48" spans="1:10" x14ac:dyDescent="0.2">
      <c r="A48" t="str">
        <f t="shared" si="1"/>
        <v>2017</v>
      </c>
      <c r="B48" s="51"/>
      <c r="C48" s="100">
        <f>'[3]TICO 2'!R62</f>
        <v>117739636</v>
      </c>
      <c r="D48" s="101">
        <f>'6.4'!D48</f>
        <v>1.1025000000000003</v>
      </c>
      <c r="E48" s="120">
        <f t="shared" si="3"/>
        <v>129807948.69000003</v>
      </c>
      <c r="F48" s="100">
        <f>'[3]TICO 2'!X62</f>
        <v>75451978</v>
      </c>
      <c r="G48" s="53">
        <f t="shared" si="4"/>
        <v>0.58099999999999996</v>
      </c>
      <c r="J48" s="2"/>
    </row>
    <row r="49" spans="1:12" x14ac:dyDescent="0.2">
      <c r="A49" t="str">
        <f t="shared" si="1"/>
        <v>2018</v>
      </c>
      <c r="B49" s="51"/>
      <c r="C49" s="100">
        <f>'[3]TICO 2'!R63</f>
        <v>115484141</v>
      </c>
      <c r="D49" s="101">
        <f>'6.4'!D49</f>
        <v>1.0768211446107889</v>
      </c>
      <c r="E49" s="120">
        <f t="shared" si="3"/>
        <v>124355764.89601374</v>
      </c>
      <c r="F49" s="100">
        <f>'[3]TICO 2'!X63</f>
        <v>12400120</v>
      </c>
      <c r="G49" s="53">
        <f t="shared" si="4"/>
        <v>0.1</v>
      </c>
      <c r="J49" s="2"/>
    </row>
    <row r="50" spans="1:12" x14ac:dyDescent="0.2">
      <c r="A50" t="str">
        <f t="shared" si="1"/>
        <v>2019</v>
      </c>
      <c r="B50" s="51"/>
      <c r="C50" s="100">
        <f>'[3]TICO 2'!R64</f>
        <v>116765056</v>
      </c>
      <c r="D50" s="101">
        <f>'6.4'!D50</f>
        <v>1.0499999999999947</v>
      </c>
      <c r="E50" s="120">
        <f t="shared" si="3"/>
        <v>122603308.79999939</v>
      </c>
      <c r="F50" s="100">
        <f>'[3]TICO 2'!X64</f>
        <v>37802737</v>
      </c>
      <c r="G50" s="53">
        <f t="shared" si="4"/>
        <v>0.308</v>
      </c>
      <c r="J50" s="2"/>
    </row>
    <row r="51" spans="1:12" x14ac:dyDescent="0.2">
      <c r="A51" t="str">
        <f t="shared" si="1"/>
        <v>2020</v>
      </c>
      <c r="B51" s="51"/>
      <c r="C51" s="100">
        <f>'[3]TICO 2'!R65</f>
        <v>121483867</v>
      </c>
      <c r="D51" s="101">
        <f>'6.4'!D51</f>
        <v>1.0500000000000036</v>
      </c>
      <c r="E51" s="120">
        <f t="shared" si="3"/>
        <v>127558060.35000044</v>
      </c>
      <c r="F51" s="100">
        <f>'[3]TICO 2'!X65</f>
        <v>53200604</v>
      </c>
      <c r="G51" s="53">
        <f>ROUND(F51/E51,3)</f>
        <v>0.41699999999999998</v>
      </c>
      <c r="J51" s="2"/>
    </row>
    <row r="52" spans="1:12" x14ac:dyDescent="0.2">
      <c r="A52" s="25">
        <v>2021</v>
      </c>
      <c r="B52" s="51"/>
      <c r="C52" s="100">
        <f>'[3]TICO 2'!R66</f>
        <v>130437447</v>
      </c>
      <c r="D52" s="101">
        <f>'6.4'!D52</f>
        <v>1.0500000000000056</v>
      </c>
      <c r="E52" s="120">
        <f t="shared" ref="E52" si="5">C52*D52</f>
        <v>136959319.35000074</v>
      </c>
      <c r="F52" s="100">
        <f>'[3]TICO 2'!X66</f>
        <v>51835915</v>
      </c>
      <c r="G52" s="53">
        <f>ROUND(F52/E52,3)</f>
        <v>0.378</v>
      </c>
      <c r="J52" s="2"/>
    </row>
    <row r="53" spans="1:12" s="59" customFormat="1" x14ac:dyDescent="0.2">
      <c r="A53" s="307"/>
      <c r="B53" s="307"/>
      <c r="C53" s="307"/>
      <c r="D53" s="307"/>
      <c r="E53" s="307"/>
      <c r="F53" s="307"/>
      <c r="G53" s="307"/>
      <c r="H53"/>
      <c r="I53"/>
      <c r="J53" s="2"/>
    </row>
    <row r="54" spans="1:12" x14ac:dyDescent="0.2">
      <c r="A54" s="59" t="s">
        <v>9</v>
      </c>
      <c r="B54" s="59"/>
      <c r="C54" s="31">
        <f>SUM(C14:C52)</f>
        <v>2217589997.4176064</v>
      </c>
      <c r="D54" s="31"/>
      <c r="E54" s="31">
        <f>SUM(E14:E52)</f>
        <v>3639234078.6161246</v>
      </c>
      <c r="F54" s="31">
        <f>SUM(F14:F52)</f>
        <v>1243421581</v>
      </c>
      <c r="G54" s="23">
        <f>ROUND(F54/E54,3)</f>
        <v>0.34200000000000003</v>
      </c>
      <c r="J54" s="2"/>
    </row>
    <row r="55" spans="1:12" ht="10.5" thickBot="1" x14ac:dyDescent="0.25">
      <c r="A55" s="6"/>
      <c r="B55" s="6"/>
      <c r="C55" s="6"/>
      <c r="D55" s="6"/>
      <c r="E55" s="6"/>
      <c r="F55" s="6"/>
      <c r="G55" s="6"/>
      <c r="J55" s="2"/>
      <c r="K55" s="11" t="s">
        <v>217</v>
      </c>
      <c r="L55" s="11" t="s">
        <v>218</v>
      </c>
    </row>
    <row r="56" spans="1:12" ht="10.5" thickTop="1" x14ac:dyDescent="0.2">
      <c r="J56" s="2"/>
      <c r="K56" s="271">
        <f>'6.4'!K$55</f>
        <v>44469</v>
      </c>
      <c r="L56" s="271">
        <f>'6.4'!L$55</f>
        <v>44561</v>
      </c>
    </row>
    <row r="57" spans="1:12" s="59" customFormat="1" x14ac:dyDescent="0.2">
      <c r="A57" t="s">
        <v>17</v>
      </c>
      <c r="B57"/>
      <c r="C57"/>
      <c r="D57"/>
      <c r="E57"/>
      <c r="F57" s="45"/>
      <c r="G57"/>
      <c r="H57"/>
      <c r="I57"/>
      <c r="J57" s="2"/>
    </row>
    <row r="58" spans="1:12" x14ac:dyDescent="0.2">
      <c r="A58" s="22" t="str">
        <f>C12&amp;" Provided by TDI.  Accident years ending "&amp;TEXT($K$56,"m/d/xx")&amp;" as of "&amp;TEXT($L$56,"m/d/yyyy")</f>
        <v>(2) Provided by TDI.  Accident years ending 9/30/xx as of 12/31/2021</v>
      </c>
      <c r="J58" s="2"/>
    </row>
    <row r="59" spans="1:12" x14ac:dyDescent="0.2">
      <c r="A59" s="22" t="str">
        <f>'6.4'!A59</f>
        <v>(3) 1987 and prior judgementally selected; 1988 - 2021 based on TWIA on-level factors</v>
      </c>
      <c r="J59" s="2"/>
    </row>
    <row r="60" spans="1:12" x14ac:dyDescent="0.2">
      <c r="A60" s="22" t="str">
        <f>E12&amp;" = "&amp;C12&amp;" * "&amp;D12</f>
        <v>(4) = (2) * (3)</v>
      </c>
      <c r="J60" s="2"/>
    </row>
    <row r="61" spans="1:12" x14ac:dyDescent="0.2">
      <c r="A61" s="22" t="str">
        <f>'6.5'!A62</f>
        <v>(5) Provided by TDI. Accidn't yrs ending 9/30/xx as of 12/31/2021</v>
      </c>
      <c r="J61" s="2"/>
    </row>
    <row r="62" spans="1:12" x14ac:dyDescent="0.2">
      <c r="A62" s="22" t="str">
        <f>G12&amp;" = "&amp;F12&amp;" / "&amp;E12</f>
        <v>(6) = (5) / (4)</v>
      </c>
      <c r="J62" s="2"/>
    </row>
    <row r="63" spans="1:12" ht="10.5" thickBot="1" x14ac:dyDescent="0.25">
      <c r="D63" s="60"/>
      <c r="E63" s="60"/>
      <c r="F63" s="60"/>
      <c r="G63" s="23"/>
      <c r="J63" s="2"/>
    </row>
    <row r="64" spans="1:12" ht="10.5" thickBot="1" x14ac:dyDescent="0.25">
      <c r="A64" s="4"/>
      <c r="B64" s="5"/>
      <c r="C64" s="5"/>
      <c r="D64" s="5"/>
      <c r="E64" s="5"/>
      <c r="F64" s="5"/>
      <c r="G64" s="5"/>
      <c r="H64" s="5"/>
      <c r="I64" s="5"/>
      <c r="J64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6">
    <tabColor rgb="FF92D050"/>
  </sheetPr>
  <dimension ref="A1:Q69"/>
  <sheetViews>
    <sheetView showGridLines="0" topLeftCell="A34" workbookViewId="0">
      <selection activeCell="B4" sqref="B4"/>
    </sheetView>
  </sheetViews>
  <sheetFormatPr defaultColWidth="11.33203125" defaultRowHeight="10" x14ac:dyDescent="0.2"/>
  <cols>
    <col min="1" max="1" width="3.44140625" bestFit="1" customWidth="1"/>
    <col min="2" max="2" width="11.33203125" customWidth="1"/>
    <col min="3" max="3" width="14" customWidth="1"/>
    <col min="4" max="4" width="21.44140625" customWidth="1"/>
    <col min="5" max="5" width="15.33203125" customWidth="1"/>
    <col min="6" max="7" width="11.33203125" customWidth="1"/>
    <col min="8" max="8" width="11.33203125" hidden="1" customWidth="1"/>
    <col min="9" max="10" width="11.33203125" customWidth="1"/>
    <col min="11" max="11" width="5.109375" customWidth="1"/>
  </cols>
  <sheetData>
    <row r="1" spans="1:16" ht="10.5" x14ac:dyDescent="0.25">
      <c r="A1" s="8" t="str">
        <f>'1'!$A$1</f>
        <v>Texas Windstorm Insurance Association</v>
      </c>
      <c r="B1" s="12"/>
      <c r="K1" s="7" t="s">
        <v>298</v>
      </c>
      <c r="L1" s="1"/>
      <c r="O1" s="95" t="s">
        <v>428</v>
      </c>
      <c r="P1" t="s">
        <v>443</v>
      </c>
    </row>
    <row r="2" spans="1:16" ht="10.5" x14ac:dyDescent="0.25">
      <c r="A2" s="8" t="str">
        <f>'1'!$A$2</f>
        <v>Residential Property - Wind &amp; Hail</v>
      </c>
      <c r="B2" s="12"/>
      <c r="K2" s="7" t="s">
        <v>21</v>
      </c>
      <c r="L2" s="2"/>
    </row>
    <row r="3" spans="1:16" ht="10.5" x14ac:dyDescent="0.25">
      <c r="A3" s="8" t="str">
        <f>'1'!$A$3</f>
        <v>Rate Level Review</v>
      </c>
      <c r="B3" s="12"/>
      <c r="L3" s="2"/>
    </row>
    <row r="4" spans="1:16" x14ac:dyDescent="0.2">
      <c r="A4" t="s">
        <v>169</v>
      </c>
      <c r="B4" s="12"/>
      <c r="L4" s="2"/>
    </row>
    <row r="5" spans="1:16" x14ac:dyDescent="0.2">
      <c r="B5" s="12"/>
      <c r="L5" s="2"/>
    </row>
    <row r="6" spans="1:16" x14ac:dyDescent="0.2">
      <c r="L6" s="2"/>
    </row>
    <row r="7" spans="1:16" ht="10.5" thickBot="1" x14ac:dyDescent="0.25">
      <c r="A7" s="6"/>
      <c r="B7" s="6"/>
      <c r="C7" s="6"/>
      <c r="D7" s="6"/>
      <c r="E7" s="6"/>
      <c r="L7" s="2"/>
    </row>
    <row r="8" spans="1:16" ht="10.5" thickTop="1" x14ac:dyDescent="0.2">
      <c r="L8" s="2"/>
    </row>
    <row r="9" spans="1:16" x14ac:dyDescent="0.2">
      <c r="C9" s="52" t="s">
        <v>143</v>
      </c>
      <c r="L9" s="2"/>
      <c r="M9" s="27"/>
    </row>
    <row r="10" spans="1:16" x14ac:dyDescent="0.2">
      <c r="C10" t="s">
        <v>144</v>
      </c>
      <c r="D10" s="11" t="s">
        <v>145</v>
      </c>
      <c r="E10" t="s">
        <v>148</v>
      </c>
      <c r="L10" s="2"/>
      <c r="M10" s="22" t="s">
        <v>165</v>
      </c>
    </row>
    <row r="11" spans="1:16" x14ac:dyDescent="0.2">
      <c r="A11" s="9" t="s">
        <v>142</v>
      </c>
      <c r="B11" s="9"/>
      <c r="C11" s="9" t="str">
        <f>"as of "&amp;TEXT($M$11,"m/d/yy")</f>
        <v>as of 11/30/21</v>
      </c>
      <c r="D11" s="241" t="s">
        <v>146</v>
      </c>
      <c r="E11" s="9" t="s">
        <v>147</v>
      </c>
      <c r="L11" s="2"/>
      <c r="M11" s="83">
        <f>'8.1'!L11</f>
        <v>44530</v>
      </c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L12" s="2"/>
    </row>
    <row r="13" spans="1:16" x14ac:dyDescent="0.2">
      <c r="D13" s="11"/>
      <c r="L13" s="2"/>
    </row>
    <row r="14" spans="1:16" x14ac:dyDescent="0.2">
      <c r="A14" t="s">
        <v>150</v>
      </c>
      <c r="C14" s="195">
        <f>'8.1'!C14</f>
        <v>1804688</v>
      </c>
      <c r="D14" s="259">
        <f>'8.1'!E14</f>
        <v>2.5209999999999999</v>
      </c>
      <c r="E14" s="31">
        <f t="shared" ref="E14:E28" si="0">ROUND(C14*D14,0)</f>
        <v>4549618</v>
      </c>
      <c r="G14" s="19"/>
      <c r="H14" s="19"/>
      <c r="I14" s="19"/>
      <c r="L14" s="2"/>
    </row>
    <row r="15" spans="1:16" x14ac:dyDescent="0.2">
      <c r="A15" t="s">
        <v>151</v>
      </c>
      <c r="C15" s="195">
        <f>'8.1'!C15</f>
        <v>9887460</v>
      </c>
      <c r="D15" s="259">
        <f>'8.1'!E15</f>
        <v>1.77</v>
      </c>
      <c r="E15" s="31">
        <f t="shared" si="0"/>
        <v>17500804</v>
      </c>
      <c r="G15" s="19"/>
      <c r="H15" s="19"/>
      <c r="I15" s="19"/>
      <c r="L15" s="2"/>
    </row>
    <row r="16" spans="1:16" x14ac:dyDescent="0.2">
      <c r="A16" t="s">
        <v>152</v>
      </c>
      <c r="C16" s="195">
        <f>'8.1'!C16</f>
        <v>997241</v>
      </c>
      <c r="D16" s="259">
        <f>'8.1'!E16</f>
        <v>3.0289999999999999</v>
      </c>
      <c r="E16" s="31">
        <f t="shared" si="0"/>
        <v>3020643</v>
      </c>
      <c r="G16" s="19"/>
      <c r="H16" s="19"/>
      <c r="I16" s="19"/>
      <c r="L16" s="2"/>
    </row>
    <row r="17" spans="1:17" x14ac:dyDescent="0.2">
      <c r="A17" t="s">
        <v>153</v>
      </c>
      <c r="C17" s="195">
        <f>'8.1'!C17</f>
        <v>2014726</v>
      </c>
      <c r="D17" s="259">
        <f>'8.1'!E17</f>
        <v>1.869</v>
      </c>
      <c r="E17" s="31">
        <f t="shared" si="0"/>
        <v>3765523</v>
      </c>
      <c r="G17" s="19"/>
      <c r="H17" s="19"/>
      <c r="I17" s="19"/>
      <c r="L17" s="2"/>
    </row>
    <row r="18" spans="1:17" x14ac:dyDescent="0.2">
      <c r="A18" t="s">
        <v>154</v>
      </c>
      <c r="C18" s="195">
        <f>'8.1'!C18</f>
        <v>1530357</v>
      </c>
      <c r="D18" s="259">
        <f>'8.1'!E18</f>
        <v>1.5920000000000001</v>
      </c>
      <c r="E18" s="31">
        <f t="shared" si="0"/>
        <v>2436328</v>
      </c>
      <c r="G18" s="19"/>
      <c r="H18" s="19"/>
      <c r="I18" s="19"/>
      <c r="L18" s="2"/>
    </row>
    <row r="19" spans="1:17" x14ac:dyDescent="0.2">
      <c r="A19" t="s">
        <v>155</v>
      </c>
      <c r="C19" s="195">
        <f>'8.1'!C19</f>
        <v>21261039</v>
      </c>
      <c r="D19" s="259">
        <f>'8.1'!E19</f>
        <v>3.9609999999999999</v>
      </c>
      <c r="E19" s="31">
        <f t="shared" si="0"/>
        <v>84214975</v>
      </c>
      <c r="G19" s="19"/>
      <c r="H19" s="19"/>
      <c r="I19" s="19"/>
      <c r="L19" s="2"/>
      <c r="O19" s="19"/>
      <c r="P19" s="19"/>
      <c r="Q19" s="19"/>
    </row>
    <row r="20" spans="1:17" x14ac:dyDescent="0.2">
      <c r="A20" t="s">
        <v>156</v>
      </c>
      <c r="C20" s="195">
        <f>'8.1'!C20</f>
        <v>1237804</v>
      </c>
      <c r="D20" s="259">
        <f>'8.1'!E20</f>
        <v>3.8980000000000001</v>
      </c>
      <c r="E20" s="31">
        <f t="shared" si="0"/>
        <v>4824960</v>
      </c>
      <c r="G20" s="19"/>
      <c r="H20" s="19"/>
      <c r="I20" s="19"/>
      <c r="L20" s="2"/>
      <c r="O20" s="19"/>
      <c r="P20" s="19"/>
      <c r="Q20" s="19"/>
    </row>
    <row r="21" spans="1:17" x14ac:dyDescent="0.2">
      <c r="A21" t="s">
        <v>157</v>
      </c>
      <c r="C21" s="195">
        <f>'8.1'!C21</f>
        <v>6298584</v>
      </c>
      <c r="D21" s="259">
        <f>'8.1'!E21</f>
        <v>2.0129999999999999</v>
      </c>
      <c r="E21" s="31">
        <f t="shared" si="0"/>
        <v>12679050</v>
      </c>
      <c r="G21" s="19"/>
      <c r="H21" s="19"/>
      <c r="I21" s="19"/>
      <c r="L21" s="2"/>
      <c r="O21" s="19"/>
      <c r="P21" s="19"/>
      <c r="Q21" s="19"/>
    </row>
    <row r="22" spans="1:17" x14ac:dyDescent="0.2">
      <c r="A22" t="s">
        <v>158</v>
      </c>
      <c r="C22" s="195">
        <f>'8.1'!C22</f>
        <v>2663</v>
      </c>
      <c r="D22" s="259">
        <f>'8.1'!E22</f>
        <v>1.133</v>
      </c>
      <c r="E22" s="31">
        <f t="shared" si="0"/>
        <v>3017</v>
      </c>
      <c r="G22" s="19"/>
      <c r="H22" s="19"/>
      <c r="I22" s="19"/>
      <c r="L22" s="2"/>
      <c r="O22" s="19"/>
      <c r="P22" s="19"/>
      <c r="Q22" s="19"/>
    </row>
    <row r="23" spans="1:17" x14ac:dyDescent="0.2">
      <c r="A23" t="s">
        <v>159</v>
      </c>
      <c r="B23" s="22"/>
      <c r="C23" s="195">
        <f>'8.1'!C23</f>
        <v>165520</v>
      </c>
      <c r="D23" s="259">
        <f>'8.1'!E23</f>
        <v>0.92800000000000005</v>
      </c>
      <c r="E23" s="31">
        <f t="shared" si="0"/>
        <v>153603</v>
      </c>
      <c r="G23" s="19"/>
      <c r="H23" s="19"/>
      <c r="I23" s="19"/>
      <c r="L23" s="2"/>
    </row>
    <row r="24" spans="1:17" x14ac:dyDescent="0.2">
      <c r="A24" t="s">
        <v>160</v>
      </c>
      <c r="B24" s="22"/>
      <c r="C24" s="195">
        <f>'8.1'!C24</f>
        <v>1206001</v>
      </c>
      <c r="D24" s="259">
        <f>'8.1'!E24</f>
        <v>2.4359999999999999</v>
      </c>
      <c r="E24" s="31">
        <f t="shared" si="0"/>
        <v>2937818</v>
      </c>
      <c r="G24" s="19"/>
      <c r="H24" s="19"/>
      <c r="I24" s="19"/>
      <c r="L24" s="2"/>
    </row>
    <row r="25" spans="1:17" x14ac:dyDescent="0.2">
      <c r="A25" t="s">
        <v>161</v>
      </c>
      <c r="B25" s="22"/>
      <c r="C25" s="195">
        <f>'8.1'!C25</f>
        <v>10451060</v>
      </c>
      <c r="D25" s="259">
        <f>'8.1'!E25</f>
        <v>2.6080000000000001</v>
      </c>
      <c r="E25" s="31">
        <f>ROUND(C25*D25,0)</f>
        <v>27256364</v>
      </c>
      <c r="G25" s="19"/>
      <c r="H25" s="19"/>
      <c r="I25" s="19"/>
      <c r="L25" s="2"/>
    </row>
    <row r="26" spans="1:17" x14ac:dyDescent="0.2">
      <c r="A26" t="s">
        <v>162</v>
      </c>
      <c r="C26" s="195">
        <f>'8.1'!C26</f>
        <v>78471</v>
      </c>
      <c r="D26" s="259">
        <f>'8.1'!E26</f>
        <v>1.5129999999999999</v>
      </c>
      <c r="E26" s="31">
        <f t="shared" si="0"/>
        <v>118727</v>
      </c>
      <c r="G26" s="19"/>
      <c r="H26" s="19"/>
      <c r="I26" s="19"/>
      <c r="L26" s="2"/>
    </row>
    <row r="27" spans="1:17" x14ac:dyDescent="0.2">
      <c r="A27" t="s">
        <v>163</v>
      </c>
      <c r="C27" s="195">
        <f>'8.1'!C27</f>
        <v>1670749</v>
      </c>
      <c r="D27" s="259">
        <f>'8.1'!E27</f>
        <v>1.946</v>
      </c>
      <c r="E27" s="31">
        <f t="shared" si="0"/>
        <v>3251278</v>
      </c>
      <c r="G27" s="19"/>
      <c r="H27" s="19"/>
      <c r="I27" s="19"/>
      <c r="L27" s="2"/>
    </row>
    <row r="28" spans="1:17" x14ac:dyDescent="0.2">
      <c r="A28" t="s">
        <v>164</v>
      </c>
      <c r="C28" s="195">
        <f>'8.1'!C28</f>
        <v>76049</v>
      </c>
      <c r="D28" s="259">
        <f>'8.1'!E28</f>
        <v>2.1829999999999998</v>
      </c>
      <c r="E28" s="31">
        <f t="shared" si="0"/>
        <v>166015</v>
      </c>
      <c r="G28" s="19"/>
      <c r="H28" s="19"/>
      <c r="I28" s="19"/>
      <c r="L28" s="2"/>
    </row>
    <row r="29" spans="1:17" s="59" customFormat="1" x14ac:dyDescent="0.2">
      <c r="A29" s="9"/>
      <c r="B29" s="26"/>
      <c r="C29" s="196"/>
      <c r="D29" s="260"/>
      <c r="E29" s="32"/>
      <c r="L29" s="2"/>
    </row>
    <row r="30" spans="1:17" x14ac:dyDescent="0.2">
      <c r="C30" s="19"/>
      <c r="D30" s="261"/>
      <c r="E30" s="12"/>
      <c r="L30" s="2"/>
    </row>
    <row r="31" spans="1:17" x14ac:dyDescent="0.2">
      <c r="A31" t="s">
        <v>9</v>
      </c>
      <c r="C31" s="31">
        <f>SUM(C14:C28)</f>
        <v>58682412</v>
      </c>
      <c r="D31" s="259">
        <f>E31/C31</f>
        <v>2.8437604609708274</v>
      </c>
      <c r="E31" s="31">
        <f>SUM(E14:E28)</f>
        <v>166878723</v>
      </c>
      <c r="G31" s="19"/>
      <c r="H31" s="19"/>
      <c r="I31" s="19"/>
      <c r="L31" s="2"/>
    </row>
    <row r="32" spans="1:17" x14ac:dyDescent="0.2">
      <c r="L32" s="2"/>
    </row>
    <row r="33" spans="1:13" x14ac:dyDescent="0.2">
      <c r="A33" s="56" t="s">
        <v>120</v>
      </c>
      <c r="B33" s="57" t="str">
        <f>'[4]7.1'!$B$33</f>
        <v>Inforce-Premium as of 11/30/21 at Present Rates</v>
      </c>
      <c r="C33" s="59"/>
      <c r="D33" s="59"/>
      <c r="E33" s="31">
        <v>330828116</v>
      </c>
      <c r="I33" s="19"/>
      <c r="L33" s="2"/>
      <c r="M33" s="68">
        <f>'10.2'!$L$28</f>
        <v>44561</v>
      </c>
    </row>
    <row r="34" spans="1:13" x14ac:dyDescent="0.2">
      <c r="A34" s="56" t="s">
        <v>124</v>
      </c>
      <c r="B34" t="s">
        <v>149</v>
      </c>
      <c r="E34" s="20">
        <f>ROUND(E31/E33,3)</f>
        <v>0.504</v>
      </c>
      <c r="F34" s="45"/>
      <c r="L34" s="2"/>
    </row>
    <row r="35" spans="1:13" ht="10.5" thickBot="1" x14ac:dyDescent="0.25">
      <c r="A35" s="6"/>
      <c r="B35" s="6"/>
      <c r="C35" s="6"/>
      <c r="D35" s="6"/>
      <c r="E35" s="6"/>
      <c r="L35" s="2"/>
    </row>
    <row r="36" spans="1:13" ht="10.5" thickTop="1" x14ac:dyDescent="0.2">
      <c r="L36" s="2"/>
    </row>
    <row r="37" spans="1:13" x14ac:dyDescent="0.2">
      <c r="A37" t="s">
        <v>17</v>
      </c>
      <c r="L37" s="2"/>
    </row>
    <row r="38" spans="1:13" x14ac:dyDescent="0.2">
      <c r="B38" s="22" t="str">
        <f>C12&amp;" Provided by TWIA"</f>
        <v>(2) Provided by TWIA</v>
      </c>
      <c r="L38" s="2"/>
    </row>
    <row r="39" spans="1:13" x14ac:dyDescent="0.2">
      <c r="B39" s="22" t="str">
        <f>D12&amp;" "&amp;'8.1'!$J$1&amp;", "&amp;'8.1'!$J$2</f>
        <v>(3) Exhibit 8, Sheet 1</v>
      </c>
      <c r="L39" s="2"/>
    </row>
    <row r="40" spans="1:13" x14ac:dyDescent="0.2">
      <c r="B40" s="22" t="str">
        <f>E12&amp;" = "&amp;C12&amp;" * "&amp;D12</f>
        <v>(4) = (2) * (3)</v>
      </c>
      <c r="F40" s="60"/>
      <c r="G40" s="23"/>
      <c r="L40" s="2"/>
    </row>
    <row r="41" spans="1:13" x14ac:dyDescent="0.2">
      <c r="B41" s="22" t="str">
        <f>A33&amp;" Provided by TWIA"</f>
        <v>(5) Provided by TWIA</v>
      </c>
      <c r="L41" s="2"/>
    </row>
    <row r="42" spans="1:13" x14ac:dyDescent="0.2">
      <c r="B42" s="22" t="str">
        <f>A34&amp;" = "&amp;E12&amp;" Total / "&amp;A33</f>
        <v>(6) = (4) Total / (5)</v>
      </c>
      <c r="L42" s="2"/>
    </row>
    <row r="43" spans="1:13" s="59" customForma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L43" s="2"/>
    </row>
    <row r="44" spans="1:13" x14ac:dyDescent="0.2">
      <c r="L44" s="2"/>
    </row>
    <row r="45" spans="1:13" x14ac:dyDescent="0.2">
      <c r="L45" s="2"/>
    </row>
    <row r="46" spans="1:13" x14ac:dyDescent="0.2">
      <c r="L46" s="2"/>
    </row>
    <row r="47" spans="1:13" x14ac:dyDescent="0.2">
      <c r="L47" s="2"/>
    </row>
    <row r="48" spans="1:13" x14ac:dyDescent="0.2">
      <c r="L48" s="2"/>
    </row>
    <row r="49" spans="1:12" x14ac:dyDescent="0.2">
      <c r="L49" s="2"/>
    </row>
    <row r="50" spans="1:12" x14ac:dyDescent="0.2">
      <c r="L50" s="2"/>
    </row>
    <row r="51" spans="1:12" s="59" customFormat="1" x14ac:dyDescent="0.2">
      <c r="A51"/>
      <c r="B51"/>
      <c r="C51"/>
      <c r="D51"/>
      <c r="E51"/>
      <c r="L51" s="2"/>
    </row>
    <row r="52" spans="1:12" s="59" customFormat="1" x14ac:dyDescent="0.2">
      <c r="L52" s="2"/>
    </row>
    <row r="53" spans="1:12" s="59" customFormat="1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L53" s="2"/>
    </row>
    <row r="54" spans="1:12" s="59" customFormat="1" x14ac:dyDescent="0.2">
      <c r="L54" s="2"/>
    </row>
    <row r="55" spans="1:12" s="59" customFormat="1" x14ac:dyDescent="0.2">
      <c r="A55" s="65"/>
      <c r="C55" s="38"/>
      <c r="D55" s="38"/>
      <c r="E55" s="38"/>
      <c r="F55" s="38"/>
      <c r="G55" s="33"/>
      <c r="H55" s="33"/>
      <c r="I55" s="33"/>
      <c r="J55" s="33"/>
      <c r="L55" s="2"/>
    </row>
    <row r="56" spans="1:12" s="59" customFormat="1" x14ac:dyDescent="0.2">
      <c r="A56" s="65"/>
      <c r="C56" s="38"/>
      <c r="D56" s="38"/>
      <c r="E56" s="38"/>
      <c r="F56" s="38"/>
      <c r="G56" s="33"/>
      <c r="H56" s="33"/>
      <c r="I56" s="33"/>
      <c r="J56" s="33"/>
      <c r="L56" s="2"/>
    </row>
    <row r="57" spans="1:12" s="59" customFormat="1" x14ac:dyDescent="0.2">
      <c r="A57" s="65"/>
      <c r="C57" s="38"/>
      <c r="D57" s="38"/>
      <c r="E57" s="38"/>
      <c r="F57" s="38"/>
      <c r="G57" s="33"/>
      <c r="H57" s="33"/>
      <c r="I57" s="33"/>
      <c r="J57" s="33"/>
      <c r="L57" s="2"/>
    </row>
    <row r="58" spans="1:12" s="59" customFormat="1" x14ac:dyDescent="0.2">
      <c r="A58" s="65"/>
      <c r="C58" s="38"/>
      <c r="D58" s="38"/>
      <c r="E58" s="38"/>
      <c r="F58" s="38"/>
      <c r="G58" s="33"/>
      <c r="H58" s="33"/>
      <c r="I58" s="33"/>
      <c r="J58" s="33"/>
      <c r="L58" s="2"/>
    </row>
    <row r="59" spans="1:12" s="59" customFormat="1" x14ac:dyDescent="0.2">
      <c r="A59" s="65"/>
      <c r="C59" s="38"/>
      <c r="D59" s="38"/>
      <c r="E59" s="38"/>
      <c r="F59" s="38"/>
      <c r="G59" s="33"/>
      <c r="H59" s="33"/>
      <c r="I59" s="33"/>
      <c r="J59" s="33"/>
      <c r="L59" s="2"/>
    </row>
    <row r="60" spans="1:12" s="59" customFormat="1" x14ac:dyDescent="0.2">
      <c r="A60" s="65"/>
      <c r="C60" s="38"/>
      <c r="D60" s="38"/>
      <c r="E60" s="38"/>
      <c r="F60" s="38"/>
      <c r="G60" s="33"/>
      <c r="H60" s="33"/>
      <c r="I60" s="33"/>
      <c r="J60" s="33"/>
      <c r="L60" s="2"/>
    </row>
    <row r="61" spans="1:12" s="59" customFormat="1" x14ac:dyDescent="0.2">
      <c r="A61" s="65"/>
      <c r="C61" s="38"/>
      <c r="D61" s="38"/>
      <c r="E61" s="38"/>
      <c r="F61" s="38"/>
      <c r="G61" s="33"/>
      <c r="H61" s="33"/>
      <c r="I61" s="33"/>
      <c r="J61" s="33"/>
      <c r="L61" s="2"/>
    </row>
    <row r="62" spans="1:12" s="59" customFormat="1" x14ac:dyDescent="0.2">
      <c r="A62" s="65"/>
      <c r="C62" s="38"/>
      <c r="D62" s="38"/>
      <c r="E62" s="38"/>
      <c r="F62" s="38"/>
      <c r="G62" s="33"/>
      <c r="H62" s="33"/>
      <c r="I62" s="33"/>
      <c r="J62" s="33"/>
      <c r="L62" s="2"/>
    </row>
    <row r="63" spans="1:12" s="59" customFormat="1" x14ac:dyDescent="0.2">
      <c r="A63" s="65"/>
      <c r="C63" s="29"/>
      <c r="D63" s="29"/>
      <c r="E63" s="29"/>
      <c r="F63" s="29"/>
      <c r="G63" s="29"/>
      <c r="H63" s="29"/>
      <c r="I63" s="29"/>
      <c r="J63" s="29"/>
      <c r="L63" s="2"/>
    </row>
    <row r="64" spans="1:12" x14ac:dyDescent="0.2">
      <c r="B64" s="25"/>
      <c r="C64" s="60"/>
      <c r="D64" s="60"/>
      <c r="E64" s="60"/>
      <c r="F64" s="60"/>
      <c r="G64" s="23"/>
      <c r="L64" s="2"/>
    </row>
    <row r="65" spans="1:12" x14ac:dyDescent="0.2">
      <c r="B65" s="25"/>
      <c r="C65" s="60"/>
      <c r="D65" s="60"/>
      <c r="E65" s="60"/>
      <c r="F65" s="60"/>
      <c r="G65" s="23"/>
      <c r="L65" s="2"/>
    </row>
    <row r="66" spans="1:12" x14ac:dyDescent="0.2">
      <c r="B66" s="25"/>
      <c r="C66" s="60"/>
      <c r="D66" s="60"/>
      <c r="E66" s="60"/>
      <c r="F66" s="60"/>
      <c r="G66" s="23"/>
      <c r="L66" s="2"/>
    </row>
    <row r="67" spans="1:12" x14ac:dyDescent="0.2">
      <c r="B67" s="25"/>
      <c r="C67" s="60"/>
      <c r="D67" s="60"/>
      <c r="E67" s="60"/>
      <c r="F67" s="60"/>
      <c r="G67" s="23"/>
      <c r="L67" s="2"/>
    </row>
    <row r="68" spans="1:12" ht="10.5" thickBot="1" x14ac:dyDescent="0.25">
      <c r="L68" s="2"/>
    </row>
    <row r="69" spans="1:12" ht="10.5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8">
    <tabColor rgb="FF92D050"/>
  </sheetPr>
  <dimension ref="A1:M69"/>
  <sheetViews>
    <sheetView showGridLines="0" topLeftCell="A28" workbookViewId="0">
      <selection activeCell="D31" sqref="D31"/>
    </sheetView>
  </sheetViews>
  <sheetFormatPr defaultColWidth="11.33203125" defaultRowHeight="10" x14ac:dyDescent="0.2"/>
  <cols>
    <col min="1" max="1" width="3.44140625" bestFit="1" customWidth="1"/>
    <col min="2" max="2" width="11.33203125" customWidth="1"/>
    <col min="3" max="3" width="14" customWidth="1"/>
    <col min="4" max="4" width="21.33203125" customWidth="1"/>
    <col min="5" max="5" width="15.33203125" customWidth="1"/>
    <col min="6" max="7" width="11.33203125" customWidth="1"/>
    <col min="8" max="8" width="11.33203125" hidden="1" customWidth="1"/>
    <col min="9" max="10" width="11.33203125" customWidth="1"/>
    <col min="11" max="11" width="5.109375" customWidth="1"/>
  </cols>
  <sheetData>
    <row r="1" spans="1:13" ht="10.5" x14ac:dyDescent="0.25">
      <c r="A1" s="8" t="str">
        <f>'1'!$A$1</f>
        <v>Texas Windstorm Insurance Association</v>
      </c>
      <c r="B1" s="12"/>
      <c r="K1" s="7" t="s">
        <v>298</v>
      </c>
      <c r="L1" s="1"/>
    </row>
    <row r="2" spans="1:13" ht="10.5" x14ac:dyDescent="0.25">
      <c r="A2" s="8" t="str">
        <f>'1'!$A$2</f>
        <v>Residential Property - Wind &amp; Hail</v>
      </c>
      <c r="B2" s="12"/>
      <c r="K2" s="7" t="s">
        <v>85</v>
      </c>
      <c r="L2" s="2"/>
    </row>
    <row r="3" spans="1:13" ht="10.5" x14ac:dyDescent="0.25">
      <c r="A3" s="8" t="str">
        <f>'1'!$A$3</f>
        <v>Rate Level Review</v>
      </c>
      <c r="B3" s="12"/>
      <c r="L3" s="2"/>
    </row>
    <row r="4" spans="1:13" x14ac:dyDescent="0.2">
      <c r="A4" t="s">
        <v>172</v>
      </c>
      <c r="B4" s="12"/>
      <c r="L4" s="2"/>
    </row>
    <row r="5" spans="1:13" x14ac:dyDescent="0.2">
      <c r="B5" s="12"/>
      <c r="L5" s="2"/>
    </row>
    <row r="6" spans="1:13" x14ac:dyDescent="0.2">
      <c r="L6" s="2"/>
    </row>
    <row r="7" spans="1:13" ht="10.5" thickBot="1" x14ac:dyDescent="0.25">
      <c r="A7" s="6"/>
      <c r="B7" s="6"/>
      <c r="C7" s="6"/>
      <c r="D7" s="6"/>
      <c r="E7" s="6"/>
      <c r="L7" s="2"/>
    </row>
    <row r="8" spans="1:13" ht="10.5" thickTop="1" x14ac:dyDescent="0.2">
      <c r="L8" s="2"/>
    </row>
    <row r="9" spans="1:13" x14ac:dyDescent="0.2">
      <c r="C9" s="52" t="s">
        <v>143</v>
      </c>
      <c r="L9" s="2"/>
      <c r="M9" s="27"/>
    </row>
    <row r="10" spans="1:13" x14ac:dyDescent="0.2">
      <c r="C10" t="s">
        <v>144</v>
      </c>
      <c r="D10" s="11" t="s">
        <v>145</v>
      </c>
      <c r="E10" t="s">
        <v>148</v>
      </c>
      <c r="L10" s="2"/>
      <c r="M10" s="22" t="s">
        <v>165</v>
      </c>
    </row>
    <row r="11" spans="1:13" x14ac:dyDescent="0.2">
      <c r="A11" s="9" t="s">
        <v>142</v>
      </c>
      <c r="B11" s="9"/>
      <c r="C11" s="9" t="str">
        <f>"as of "&amp;TEXT($M$11,"m/d/yy")</f>
        <v>as of 11/30/21</v>
      </c>
      <c r="D11" s="241" t="s">
        <v>146</v>
      </c>
      <c r="E11" s="9" t="s">
        <v>147</v>
      </c>
      <c r="L11" s="2"/>
      <c r="M11" s="52">
        <f>'7.1'!$M$11</f>
        <v>44530</v>
      </c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L12" s="2"/>
    </row>
    <row r="13" spans="1:13" x14ac:dyDescent="0.2">
      <c r="D13" s="11"/>
      <c r="L13" s="2"/>
    </row>
    <row r="14" spans="1:13" x14ac:dyDescent="0.2">
      <c r="A14" t="s">
        <v>150</v>
      </c>
      <c r="C14" s="31">
        <f>'8.2'!C14</f>
        <v>1804688</v>
      </c>
      <c r="D14" s="259">
        <f>'8.2'!E14</f>
        <v>2.1480000000000001</v>
      </c>
      <c r="E14" s="31">
        <f t="shared" ref="E14:E28" si="0">ROUND(C14*D14,0)</f>
        <v>3876470</v>
      </c>
      <c r="L14" s="2"/>
    </row>
    <row r="15" spans="1:13" x14ac:dyDescent="0.2">
      <c r="A15" t="s">
        <v>151</v>
      </c>
      <c r="C15" s="31">
        <f>'8.2'!C15</f>
        <v>9887460</v>
      </c>
      <c r="D15" s="259">
        <f>'8.2'!E15</f>
        <v>1.7270000000000001</v>
      </c>
      <c r="E15" s="31">
        <f t="shared" si="0"/>
        <v>17075643</v>
      </c>
      <c r="L15" s="2"/>
    </row>
    <row r="16" spans="1:13" x14ac:dyDescent="0.2">
      <c r="A16" t="s">
        <v>152</v>
      </c>
      <c r="C16" s="31">
        <f>'8.2'!C16</f>
        <v>997241</v>
      </c>
      <c r="D16" s="259">
        <f>'8.2'!E16</f>
        <v>3.3969999999999998</v>
      </c>
      <c r="E16" s="31">
        <f t="shared" si="0"/>
        <v>3387628</v>
      </c>
      <c r="L16" s="2"/>
    </row>
    <row r="17" spans="1:12" x14ac:dyDescent="0.2">
      <c r="A17" t="s">
        <v>153</v>
      </c>
      <c r="C17" s="31">
        <f>'8.2'!C17</f>
        <v>2014726</v>
      </c>
      <c r="D17" s="259">
        <f>'8.2'!E17</f>
        <v>2.2330000000000001</v>
      </c>
      <c r="E17" s="31">
        <f t="shared" si="0"/>
        <v>4498883</v>
      </c>
      <c r="L17" s="2"/>
    </row>
    <row r="18" spans="1:12" x14ac:dyDescent="0.2">
      <c r="A18" t="s">
        <v>154</v>
      </c>
      <c r="C18" s="31">
        <f>'8.2'!C18</f>
        <v>1530357</v>
      </c>
      <c r="D18" s="259">
        <f>'8.2'!E18</f>
        <v>1.518</v>
      </c>
      <c r="E18" s="31">
        <f t="shared" si="0"/>
        <v>2323082</v>
      </c>
      <c r="L18" s="2"/>
    </row>
    <row r="19" spans="1:12" x14ac:dyDescent="0.2">
      <c r="A19" t="s">
        <v>155</v>
      </c>
      <c r="C19" s="31">
        <f>'8.2'!C19</f>
        <v>21261039</v>
      </c>
      <c r="D19" s="259">
        <f>'8.2'!E19</f>
        <v>3.0059999999999998</v>
      </c>
      <c r="E19" s="31">
        <f t="shared" si="0"/>
        <v>63910683</v>
      </c>
      <c r="L19" s="2"/>
    </row>
    <row r="20" spans="1:12" x14ac:dyDescent="0.2">
      <c r="A20" t="s">
        <v>156</v>
      </c>
      <c r="C20" s="31">
        <f>'8.2'!C20</f>
        <v>1237804</v>
      </c>
      <c r="D20" s="259">
        <f>'8.2'!E20</f>
        <v>2.8039999999999998</v>
      </c>
      <c r="E20" s="31">
        <f t="shared" si="0"/>
        <v>3470802</v>
      </c>
      <c r="L20" s="2"/>
    </row>
    <row r="21" spans="1:12" x14ac:dyDescent="0.2">
      <c r="A21" t="s">
        <v>157</v>
      </c>
      <c r="C21" s="31">
        <f>'8.2'!C21</f>
        <v>6298584</v>
      </c>
      <c r="D21" s="259">
        <f>'8.2'!E21</f>
        <v>1.804</v>
      </c>
      <c r="E21" s="31">
        <f t="shared" si="0"/>
        <v>11362646</v>
      </c>
      <c r="L21" s="2"/>
    </row>
    <row r="22" spans="1:12" x14ac:dyDescent="0.2">
      <c r="A22" t="s">
        <v>158</v>
      </c>
      <c r="C22" s="31">
        <f>'8.2'!C22</f>
        <v>2663</v>
      </c>
      <c r="D22" s="259">
        <f>'8.2'!E22</f>
        <v>2.0209999999999999</v>
      </c>
      <c r="E22" s="31">
        <f t="shared" si="0"/>
        <v>5382</v>
      </c>
      <c r="L22" s="2"/>
    </row>
    <row r="23" spans="1:12" x14ac:dyDescent="0.2">
      <c r="A23" t="s">
        <v>159</v>
      </c>
      <c r="B23" s="22"/>
      <c r="C23" s="31">
        <f>'8.2'!C23</f>
        <v>165520</v>
      </c>
      <c r="D23" s="259">
        <f>'8.2'!E23</f>
        <v>1.4810000000000001</v>
      </c>
      <c r="E23" s="31">
        <f t="shared" si="0"/>
        <v>245135</v>
      </c>
      <c r="L23" s="2"/>
    </row>
    <row r="24" spans="1:12" x14ac:dyDescent="0.2">
      <c r="A24" t="s">
        <v>160</v>
      </c>
      <c r="B24" s="22"/>
      <c r="C24" s="31">
        <f>'8.2'!C24</f>
        <v>1206001</v>
      </c>
      <c r="D24" s="259">
        <f>'8.2'!E24</f>
        <v>2.77</v>
      </c>
      <c r="E24" s="31">
        <f t="shared" si="0"/>
        <v>3340623</v>
      </c>
      <c r="L24" s="2"/>
    </row>
    <row r="25" spans="1:12" x14ac:dyDescent="0.2">
      <c r="A25" t="s">
        <v>161</v>
      </c>
      <c r="B25" s="22"/>
      <c r="C25" s="31">
        <f>'8.2'!C25</f>
        <v>10451060</v>
      </c>
      <c r="D25" s="259">
        <f>'8.2'!E25</f>
        <v>2.1030000000000002</v>
      </c>
      <c r="E25" s="31">
        <f t="shared" si="0"/>
        <v>21978579</v>
      </c>
      <c r="L25" s="2"/>
    </row>
    <row r="26" spans="1:12" x14ac:dyDescent="0.2">
      <c r="A26" t="s">
        <v>162</v>
      </c>
      <c r="C26" s="31">
        <f>'8.2'!C26</f>
        <v>78471</v>
      </c>
      <c r="D26" s="259">
        <f>'8.2'!E26</f>
        <v>2.0299999999999998</v>
      </c>
      <c r="E26" s="31">
        <f t="shared" si="0"/>
        <v>159296</v>
      </c>
      <c r="L26" s="2"/>
    </row>
    <row r="27" spans="1:12" x14ac:dyDescent="0.2">
      <c r="A27" t="s">
        <v>163</v>
      </c>
      <c r="C27" s="31">
        <f>'8.2'!C27</f>
        <v>1670749</v>
      </c>
      <c r="D27" s="259">
        <f>'8.2'!E27</f>
        <v>1.962</v>
      </c>
      <c r="E27" s="31">
        <f t="shared" si="0"/>
        <v>3278010</v>
      </c>
      <c r="L27" s="2"/>
    </row>
    <row r="28" spans="1:12" x14ac:dyDescent="0.2">
      <c r="A28" t="s">
        <v>164</v>
      </c>
      <c r="C28" s="31">
        <f>'8.2'!C28</f>
        <v>76049</v>
      </c>
      <c r="D28" s="259">
        <f>'8.2'!E28</f>
        <v>2.7709999999999999</v>
      </c>
      <c r="E28" s="31">
        <f t="shared" si="0"/>
        <v>210732</v>
      </c>
      <c r="L28" s="2"/>
    </row>
    <row r="29" spans="1:12" s="59" customFormat="1" x14ac:dyDescent="0.2">
      <c r="A29" s="9"/>
      <c r="B29" s="26"/>
      <c r="C29" s="32"/>
      <c r="D29" s="260"/>
      <c r="E29" s="32"/>
      <c r="L29" s="2"/>
    </row>
    <row r="30" spans="1:12" x14ac:dyDescent="0.2">
      <c r="C30" s="19"/>
      <c r="D30" s="261"/>
      <c r="E30" s="12"/>
      <c r="L30" s="2"/>
    </row>
    <row r="31" spans="1:12" x14ac:dyDescent="0.2">
      <c r="A31" t="s">
        <v>9</v>
      </c>
      <c r="C31" s="31">
        <f>SUM(C14:C28)</f>
        <v>58682412</v>
      </c>
      <c r="D31" s="259">
        <f>E31/C31</f>
        <v>2.3707886103931788</v>
      </c>
      <c r="E31" s="31">
        <f>SUM(E14:E28)</f>
        <v>139123594</v>
      </c>
      <c r="L31" s="2"/>
    </row>
    <row r="32" spans="1:12" x14ac:dyDescent="0.2">
      <c r="L32" s="2"/>
    </row>
    <row r="33" spans="1:13" x14ac:dyDescent="0.2">
      <c r="A33" s="56" t="s">
        <v>120</v>
      </c>
      <c r="B33" t="str">
        <f>'7.1'!B33</f>
        <v>Inforce-Premium as of 11/30/21 at Present Rates</v>
      </c>
      <c r="E33" s="31">
        <f>'7.1'!E33</f>
        <v>330828116</v>
      </c>
      <c r="L33" s="2"/>
      <c r="M33" s="68">
        <f>'7.1'!$M$33</f>
        <v>44561</v>
      </c>
    </row>
    <row r="34" spans="1:13" x14ac:dyDescent="0.2">
      <c r="A34" s="56" t="s">
        <v>124</v>
      </c>
      <c r="B34" t="s">
        <v>149</v>
      </c>
      <c r="E34" s="20">
        <f>ROUND(E31/E33,3)</f>
        <v>0.42099999999999999</v>
      </c>
      <c r="F34" s="45"/>
      <c r="L34" s="2"/>
    </row>
    <row r="35" spans="1:13" ht="10.5" thickBot="1" x14ac:dyDescent="0.25">
      <c r="A35" s="6"/>
      <c r="B35" s="6"/>
      <c r="C35" s="6"/>
      <c r="D35" s="6"/>
      <c r="E35" s="6"/>
      <c r="L35" s="2"/>
    </row>
    <row r="36" spans="1:13" ht="10.5" thickTop="1" x14ac:dyDescent="0.2">
      <c r="L36" s="2"/>
    </row>
    <row r="37" spans="1:13" x14ac:dyDescent="0.2">
      <c r="A37" t="s">
        <v>17</v>
      </c>
      <c r="L37" s="2"/>
    </row>
    <row r="38" spans="1:13" x14ac:dyDescent="0.2">
      <c r="B38" s="22" t="str">
        <f>C12&amp;" Provided by TWIA"</f>
        <v>(2) Provided by TWIA</v>
      </c>
      <c r="L38" s="2"/>
    </row>
    <row r="39" spans="1:13" x14ac:dyDescent="0.2">
      <c r="B39" s="22" t="str">
        <f>D12&amp;" "&amp;'8.2'!$J$1&amp;", "&amp;'8.2'!$J$2</f>
        <v>(3) Exhibit 8, Sheet 2</v>
      </c>
      <c r="L39" s="2"/>
    </row>
    <row r="40" spans="1:13" x14ac:dyDescent="0.2">
      <c r="B40" s="22" t="str">
        <f>E12&amp;" = "&amp;C12&amp;" * "&amp;D12</f>
        <v>(4) = (2) * (3)</v>
      </c>
      <c r="F40" s="60"/>
      <c r="G40" s="23"/>
      <c r="L40" s="2"/>
    </row>
    <row r="41" spans="1:13" x14ac:dyDescent="0.2">
      <c r="B41" s="22" t="str">
        <f>A33&amp;" "&amp;"Provided by TWIA"</f>
        <v>(5) Provided by TWIA</v>
      </c>
      <c r="L41" s="2"/>
    </row>
    <row r="42" spans="1:13" x14ac:dyDescent="0.2">
      <c r="B42" s="22" t="str">
        <f>A34&amp;" = "&amp;E12&amp;" Total / "&amp;A33&amp;""</f>
        <v>(6) = (4) Total / (5)</v>
      </c>
      <c r="L42" s="2"/>
    </row>
    <row r="43" spans="1:13" s="59" customForma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L43" s="2"/>
    </row>
    <row r="44" spans="1:13" x14ac:dyDescent="0.2">
      <c r="L44" s="2"/>
    </row>
    <row r="45" spans="1:13" x14ac:dyDescent="0.2">
      <c r="L45" s="2"/>
    </row>
    <row r="46" spans="1:13" x14ac:dyDescent="0.2">
      <c r="L46" s="2"/>
    </row>
    <row r="47" spans="1:13" x14ac:dyDescent="0.2">
      <c r="L47" s="2"/>
    </row>
    <row r="48" spans="1:13" x14ac:dyDescent="0.2">
      <c r="L48" s="2"/>
    </row>
    <row r="49" spans="1:12" x14ac:dyDescent="0.2">
      <c r="L49" s="2"/>
    </row>
    <row r="50" spans="1:12" x14ac:dyDescent="0.2">
      <c r="L50" s="2"/>
    </row>
    <row r="51" spans="1:12" s="59" customFormat="1" x14ac:dyDescent="0.2">
      <c r="A51"/>
      <c r="B51"/>
      <c r="C51"/>
      <c r="D51"/>
      <c r="E51"/>
      <c r="L51" s="2"/>
    </row>
    <row r="52" spans="1:12" s="59" customFormat="1" x14ac:dyDescent="0.2">
      <c r="L52" s="2"/>
    </row>
    <row r="53" spans="1:12" s="59" customFormat="1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L53" s="2"/>
    </row>
    <row r="54" spans="1:12" s="59" customFormat="1" x14ac:dyDescent="0.2">
      <c r="L54" s="2"/>
    </row>
    <row r="55" spans="1:12" s="59" customFormat="1" x14ac:dyDescent="0.2">
      <c r="A55" s="65"/>
      <c r="C55" s="38"/>
      <c r="D55" s="38"/>
      <c r="E55" s="38"/>
      <c r="F55" s="38"/>
      <c r="G55" s="33"/>
      <c r="H55" s="33"/>
      <c r="I55" s="33"/>
      <c r="J55" s="33"/>
      <c r="L55" s="2"/>
    </row>
    <row r="56" spans="1:12" s="59" customFormat="1" x14ac:dyDescent="0.2">
      <c r="A56" s="65"/>
      <c r="C56" s="38"/>
      <c r="D56" s="38"/>
      <c r="E56" s="38"/>
      <c r="F56" s="38"/>
      <c r="G56" s="33"/>
      <c r="H56" s="33"/>
      <c r="I56" s="33"/>
      <c r="J56" s="33"/>
      <c r="L56" s="2"/>
    </row>
    <row r="57" spans="1:12" s="59" customFormat="1" x14ac:dyDescent="0.2">
      <c r="A57" s="65"/>
      <c r="C57" s="38"/>
      <c r="D57" s="38"/>
      <c r="E57" s="38"/>
      <c r="F57" s="38"/>
      <c r="G57" s="33"/>
      <c r="H57" s="33"/>
      <c r="I57" s="33"/>
      <c r="J57" s="33"/>
      <c r="L57" s="2"/>
    </row>
    <row r="58" spans="1:12" s="59" customFormat="1" x14ac:dyDescent="0.2">
      <c r="A58" s="65"/>
      <c r="C58" s="38"/>
      <c r="D58" s="38"/>
      <c r="E58" s="38"/>
      <c r="F58" s="38"/>
      <c r="G58" s="33"/>
      <c r="H58" s="33"/>
      <c r="I58" s="33"/>
      <c r="J58" s="33"/>
      <c r="L58" s="2"/>
    </row>
    <row r="59" spans="1:12" s="59" customFormat="1" x14ac:dyDescent="0.2">
      <c r="A59" s="65"/>
      <c r="C59" s="38"/>
      <c r="D59" s="38"/>
      <c r="E59" s="38"/>
      <c r="F59" s="38"/>
      <c r="G59" s="33"/>
      <c r="H59" s="33"/>
      <c r="I59" s="33"/>
      <c r="J59" s="33"/>
      <c r="L59" s="2"/>
    </row>
    <row r="60" spans="1:12" s="59" customFormat="1" x14ac:dyDescent="0.2">
      <c r="A60" s="65"/>
      <c r="C60" s="38"/>
      <c r="D60" s="38"/>
      <c r="E60" s="38"/>
      <c r="F60" s="38"/>
      <c r="G60" s="33"/>
      <c r="H60" s="33"/>
      <c r="I60" s="33"/>
      <c r="J60" s="33"/>
      <c r="L60" s="2"/>
    </row>
    <row r="61" spans="1:12" s="59" customFormat="1" x14ac:dyDescent="0.2">
      <c r="A61" s="65"/>
      <c r="C61" s="38"/>
      <c r="D61" s="38"/>
      <c r="E61" s="38"/>
      <c r="F61" s="38"/>
      <c r="G61" s="33"/>
      <c r="H61" s="33"/>
      <c r="I61" s="33"/>
      <c r="J61" s="33"/>
      <c r="L61" s="2"/>
    </row>
    <row r="62" spans="1:12" s="59" customFormat="1" x14ac:dyDescent="0.2">
      <c r="A62" s="65"/>
      <c r="C62" s="38"/>
      <c r="D62" s="38"/>
      <c r="E62" s="38"/>
      <c r="F62" s="38"/>
      <c r="G62" s="33"/>
      <c r="H62" s="33"/>
      <c r="I62" s="33"/>
      <c r="J62" s="33"/>
      <c r="L62" s="2"/>
    </row>
    <row r="63" spans="1:12" s="59" customFormat="1" x14ac:dyDescent="0.2">
      <c r="A63" s="65"/>
      <c r="C63" s="29"/>
      <c r="D63" s="29"/>
      <c r="E63" s="29"/>
      <c r="F63" s="29"/>
      <c r="G63" s="29"/>
      <c r="H63" s="29"/>
      <c r="I63" s="29"/>
      <c r="J63" s="29"/>
      <c r="L63" s="2"/>
    </row>
    <row r="64" spans="1:12" x14ac:dyDescent="0.2">
      <c r="B64" s="25"/>
      <c r="C64" s="60"/>
      <c r="D64" s="60"/>
      <c r="E64" s="60"/>
      <c r="F64" s="60"/>
      <c r="G64" s="23"/>
      <c r="L64" s="2"/>
    </row>
    <row r="65" spans="1:12" x14ac:dyDescent="0.2">
      <c r="B65" s="25"/>
      <c r="C65" s="60"/>
      <c r="D65" s="60"/>
      <c r="E65" s="60"/>
      <c r="F65" s="60"/>
      <c r="G65" s="23"/>
      <c r="L65" s="2"/>
    </row>
    <row r="66" spans="1:12" x14ac:dyDescent="0.2">
      <c r="B66" s="25"/>
      <c r="C66" s="60"/>
      <c r="D66" s="60"/>
      <c r="E66" s="60"/>
      <c r="F66" s="60"/>
      <c r="G66" s="23"/>
      <c r="L66" s="2"/>
    </row>
    <row r="67" spans="1:12" x14ac:dyDescent="0.2">
      <c r="B67" s="25"/>
      <c r="C67" s="60"/>
      <c r="D67" s="60"/>
      <c r="E67" s="60"/>
      <c r="F67" s="60"/>
      <c r="G67" s="23"/>
      <c r="L67" s="2"/>
    </row>
    <row r="68" spans="1:12" ht="10.5" thickBot="1" x14ac:dyDescent="0.25">
      <c r="L68" s="2"/>
    </row>
    <row r="69" spans="1:12" ht="10.5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rgb="FF92D050"/>
  </sheetPr>
  <dimension ref="A1:L69"/>
  <sheetViews>
    <sheetView showGridLines="0" workbookViewId="0">
      <selection activeCell="D38" sqref="D38"/>
    </sheetView>
  </sheetViews>
  <sheetFormatPr defaultColWidth="11.33203125" defaultRowHeight="10" x14ac:dyDescent="0.2"/>
  <cols>
    <col min="1" max="1" width="2.44140625" bestFit="1" customWidth="1"/>
    <col min="2" max="2" width="16.6640625" customWidth="1"/>
    <col min="3" max="5" width="15.33203125" customWidth="1"/>
    <col min="6" max="9" width="11.33203125" customWidth="1"/>
    <col min="10" max="10" width="10.6640625" customWidth="1"/>
  </cols>
  <sheetData>
    <row r="1" spans="1:12" ht="10.5" x14ac:dyDescent="0.25">
      <c r="A1" s="8" t="str">
        <f>'1'!$A$1</f>
        <v>Texas Windstorm Insurance Association</v>
      </c>
      <c r="B1" s="12"/>
      <c r="J1" s="7" t="s">
        <v>20</v>
      </c>
      <c r="K1" s="1"/>
    </row>
    <row r="2" spans="1:12" ht="10.5" x14ac:dyDescent="0.25">
      <c r="A2" s="8" t="str">
        <f>'1'!$A$2</f>
        <v>Residential Property - Wind &amp; Hail</v>
      </c>
      <c r="B2" s="12"/>
      <c r="J2" s="7" t="s">
        <v>21</v>
      </c>
      <c r="K2" s="2"/>
    </row>
    <row r="3" spans="1:12" ht="10.5" x14ac:dyDescent="0.25">
      <c r="A3" s="8" t="str">
        <f>'1'!$A$3</f>
        <v>Rate Level Review</v>
      </c>
      <c r="B3" s="12"/>
      <c r="J3" s="126"/>
      <c r="K3" s="2"/>
    </row>
    <row r="4" spans="1:12" x14ac:dyDescent="0.2">
      <c r="A4" t="s">
        <v>18</v>
      </c>
      <c r="B4" s="12"/>
      <c r="K4" s="2"/>
    </row>
    <row r="5" spans="1:12" x14ac:dyDescent="0.2">
      <c r="A5" t="s">
        <v>19</v>
      </c>
      <c r="B5" s="12"/>
      <c r="K5" s="2"/>
    </row>
    <row r="6" spans="1:12" x14ac:dyDescent="0.2">
      <c r="K6" s="2"/>
    </row>
    <row r="7" spans="1:12" ht="10.5" thickBot="1" x14ac:dyDescent="0.25">
      <c r="A7" s="6"/>
      <c r="B7" s="6"/>
      <c r="C7" s="6"/>
      <c r="D7" s="6"/>
      <c r="E7" s="6"/>
      <c r="K7" s="2"/>
    </row>
    <row r="8" spans="1:12" ht="10.5" thickTop="1" x14ac:dyDescent="0.2">
      <c r="K8" s="2"/>
      <c r="L8" t="s">
        <v>219</v>
      </c>
    </row>
    <row r="9" spans="1:12" x14ac:dyDescent="0.2">
      <c r="C9" s="24" t="str">
        <f>YEAR($L$9)&amp;" Written Premium"</f>
        <v>2021 Written Premium</v>
      </c>
      <c r="E9" t="s">
        <v>13</v>
      </c>
      <c r="K9" s="2"/>
      <c r="L9" s="269">
        <v>44561</v>
      </c>
    </row>
    <row r="10" spans="1:12" x14ac:dyDescent="0.2">
      <c r="E10" t="s">
        <v>8</v>
      </c>
      <c r="K10" s="2"/>
    </row>
    <row r="11" spans="1:12" x14ac:dyDescent="0.2">
      <c r="A11" s="9" t="s">
        <v>22</v>
      </c>
      <c r="B11" s="9"/>
      <c r="C11" s="9" t="s">
        <v>27</v>
      </c>
      <c r="D11" s="9" t="s">
        <v>28</v>
      </c>
      <c r="E11" s="9" t="s">
        <v>29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K13" s="2"/>
    </row>
    <row r="14" spans="1:12" x14ac:dyDescent="0.2">
      <c r="A14" t="s">
        <v>23</v>
      </c>
      <c r="C14" s="334">
        <f>'[3]TWIA 5'!Y23</f>
        <v>121498534</v>
      </c>
      <c r="D14" s="20">
        <f>C14/C$19</f>
        <v>0.36442483033352441</v>
      </c>
      <c r="E14" s="29">
        <f>'2.2a'!$H$26</f>
        <v>0.14799999999999999</v>
      </c>
      <c r="G14" s="20"/>
      <c r="H14" s="20"/>
      <c r="K14" s="2"/>
    </row>
    <row r="15" spans="1:12" x14ac:dyDescent="0.2">
      <c r="A15" t="s">
        <v>26</v>
      </c>
      <c r="C15" s="334">
        <f>'[3]TWIA 5'!Y24</f>
        <v>59500283</v>
      </c>
      <c r="D15" s="20">
        <f>C15/C$19</f>
        <v>0.17846619068730232</v>
      </c>
      <c r="E15" s="29">
        <f>'2.2b'!$H$26</f>
        <v>0.122</v>
      </c>
      <c r="G15" s="20"/>
      <c r="H15" s="20"/>
      <c r="K15" s="2"/>
    </row>
    <row r="16" spans="1:12" x14ac:dyDescent="0.2">
      <c r="A16" t="s">
        <v>25</v>
      </c>
      <c r="C16" s="334">
        <f>'[3]TWIA 5'!Y25</f>
        <v>147624220</v>
      </c>
      <c r="D16" s="20">
        <f>C16/C$19</f>
        <v>0.44278667038582442</v>
      </c>
      <c r="E16" s="29">
        <f>'2.2c'!$H$26</f>
        <v>0.155</v>
      </c>
      <c r="G16" s="20"/>
      <c r="H16" s="20"/>
      <c r="K16" s="2"/>
    </row>
    <row r="17" spans="1:11" x14ac:dyDescent="0.2">
      <c r="A17" s="9" t="s">
        <v>24</v>
      </c>
      <c r="B17" s="9"/>
      <c r="C17" s="358">
        <f>'[3]TWIA 5'!Y26</f>
        <v>4775030</v>
      </c>
      <c r="D17" s="21">
        <f>C17/C$19</f>
        <v>1.4322308593348864E-2</v>
      </c>
      <c r="E17" s="30">
        <f>'2.2d'!$H$26</f>
        <v>0.21099999999999999</v>
      </c>
      <c r="G17" s="20"/>
      <c r="H17" s="20"/>
      <c r="K17" s="2"/>
    </row>
    <row r="18" spans="1:11" x14ac:dyDescent="0.2">
      <c r="K18" s="2"/>
    </row>
    <row r="19" spans="1:11" x14ac:dyDescent="0.2">
      <c r="A19" t="s">
        <v>30</v>
      </c>
      <c r="C19" s="19">
        <f>SUM(C14:C17)</f>
        <v>333398067</v>
      </c>
      <c r="D19" s="20">
        <f>SUM(D14:D17)</f>
        <v>1</v>
      </c>
      <c r="E19" s="29">
        <f>ROUND(SUMPRODUCT(D14:D17,E14:E17)/D19,3)</f>
        <v>0.14699999999999999</v>
      </c>
      <c r="K19" s="2"/>
    </row>
    <row r="20" spans="1:11" ht="10.5" thickBot="1" x14ac:dyDescent="0.25">
      <c r="A20" s="6"/>
      <c r="B20" s="6"/>
      <c r="C20" s="6"/>
      <c r="D20" s="6"/>
      <c r="E20" s="6"/>
      <c r="K20" s="2"/>
    </row>
    <row r="21" spans="1:11" ht="10.5" thickTop="1" x14ac:dyDescent="0.2">
      <c r="K21" s="2"/>
    </row>
    <row r="22" spans="1:11" x14ac:dyDescent="0.2">
      <c r="A22" t="s">
        <v>17</v>
      </c>
      <c r="K22" s="2"/>
    </row>
    <row r="23" spans="1:11" x14ac:dyDescent="0.2">
      <c r="B23" s="12" t="str">
        <f>C12&amp;" TWIA data"</f>
        <v>(2) TWIA data</v>
      </c>
      <c r="K23" s="2"/>
    </row>
    <row r="24" spans="1:11" x14ac:dyDescent="0.2">
      <c r="B24" s="12" t="str">
        <f>D12&amp;" = "&amp;C12&amp;" / "&amp;C12&amp;" Total"</f>
        <v>(3) = (2) / (2) Total</v>
      </c>
      <c r="K24" s="2"/>
    </row>
    <row r="25" spans="1:11" x14ac:dyDescent="0.2">
      <c r="B25" s="22" t="str">
        <f>E12&amp;" "&amp;'2.2a'!$J$1&amp;", "&amp;'2.2a'!$J$2&amp;" - "&amp;'2.2d'!$J$2</f>
        <v>(4) Exhibit 2, Sheet 2a - Sheet 2d</v>
      </c>
      <c r="K25" s="2"/>
    </row>
    <row r="26" spans="1:11" x14ac:dyDescent="0.2">
      <c r="B26" s="17"/>
      <c r="K26" s="2"/>
    </row>
    <row r="27" spans="1:11" x14ac:dyDescent="0.2">
      <c r="K27" s="2"/>
    </row>
    <row r="28" spans="1:11" x14ac:dyDescent="0.2">
      <c r="K28" s="2"/>
    </row>
    <row r="29" spans="1:11" x14ac:dyDescent="0.2">
      <c r="K29" s="2"/>
    </row>
    <row r="30" spans="1:11" x14ac:dyDescent="0.2">
      <c r="K30" s="2"/>
    </row>
    <row r="31" spans="1:11" x14ac:dyDescent="0.2">
      <c r="K31" s="2"/>
    </row>
    <row r="32" spans="1:11" x14ac:dyDescent="0.2">
      <c r="K32" s="2"/>
    </row>
    <row r="33" spans="11:11" x14ac:dyDescent="0.2">
      <c r="K33" s="2"/>
    </row>
    <row r="34" spans="11:11" x14ac:dyDescent="0.2">
      <c r="K34" s="2"/>
    </row>
    <row r="35" spans="11:11" x14ac:dyDescent="0.2">
      <c r="K35" s="2"/>
    </row>
    <row r="36" spans="11:11" x14ac:dyDescent="0.2">
      <c r="K36" s="2"/>
    </row>
    <row r="37" spans="11:11" x14ac:dyDescent="0.2">
      <c r="K37" s="2"/>
    </row>
    <row r="38" spans="11:11" x14ac:dyDescent="0.2">
      <c r="K38" s="2"/>
    </row>
    <row r="39" spans="11:11" x14ac:dyDescent="0.2">
      <c r="K39" s="2"/>
    </row>
    <row r="40" spans="11:11" x14ac:dyDescent="0.2">
      <c r="K40" s="2"/>
    </row>
    <row r="41" spans="11:11" x14ac:dyDescent="0.2">
      <c r="K41" s="2"/>
    </row>
    <row r="42" spans="11:11" x14ac:dyDescent="0.2">
      <c r="K42" s="2"/>
    </row>
    <row r="43" spans="11:11" x14ac:dyDescent="0.2">
      <c r="K43" s="2"/>
    </row>
    <row r="44" spans="11:11" x14ac:dyDescent="0.2">
      <c r="K44" s="2"/>
    </row>
    <row r="45" spans="11:11" x14ac:dyDescent="0.2">
      <c r="K45" s="2"/>
    </row>
    <row r="46" spans="11:11" x14ac:dyDescent="0.2">
      <c r="K46" s="2"/>
    </row>
    <row r="47" spans="11:11" x14ac:dyDescent="0.2">
      <c r="K47" s="2"/>
    </row>
    <row r="48" spans="11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0.5" thickBot="1" x14ac:dyDescent="0.25">
      <c r="K68" s="2"/>
    </row>
    <row r="69" spans="1:11" ht="10.5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C0194-4D98-4503-82BB-DA16DE1B1A75}">
  <sheetPr>
    <tabColor rgb="FF92D050"/>
  </sheetPr>
  <dimension ref="A1:M69"/>
  <sheetViews>
    <sheetView showGridLines="0" topLeftCell="A31" workbookViewId="0">
      <selection activeCell="G24" sqref="G24"/>
    </sheetView>
  </sheetViews>
  <sheetFormatPr defaultColWidth="11.33203125" defaultRowHeight="10" x14ac:dyDescent="0.2"/>
  <cols>
    <col min="1" max="1" width="3.44140625" bestFit="1" customWidth="1"/>
    <col min="2" max="2" width="11.33203125" customWidth="1"/>
    <col min="3" max="3" width="14" customWidth="1"/>
    <col min="4" max="4" width="21.33203125" customWidth="1"/>
    <col min="5" max="5" width="15.33203125" customWidth="1"/>
    <col min="6" max="7" width="11.33203125" customWidth="1"/>
    <col min="8" max="8" width="11.33203125" hidden="1" customWidth="1"/>
    <col min="9" max="10" width="11.33203125" customWidth="1"/>
    <col min="11" max="11" width="5.109375" customWidth="1"/>
  </cols>
  <sheetData>
    <row r="1" spans="1:13" ht="10.5" x14ac:dyDescent="0.25">
      <c r="A1" s="8" t="str">
        <f>'1'!$A$1</f>
        <v>Texas Windstorm Insurance Association</v>
      </c>
      <c r="B1" s="12"/>
      <c r="K1" s="7" t="s">
        <v>298</v>
      </c>
      <c r="L1" s="1"/>
    </row>
    <row r="2" spans="1:13" ht="10.5" x14ac:dyDescent="0.25">
      <c r="A2" s="8" t="str">
        <f>'1'!$A$2</f>
        <v>Residential Property - Wind &amp; Hail</v>
      </c>
      <c r="B2" s="12"/>
      <c r="K2" s="7" t="s">
        <v>88</v>
      </c>
      <c r="L2" s="2"/>
    </row>
    <row r="3" spans="1:13" ht="10.5" x14ac:dyDescent="0.25">
      <c r="A3" s="8" t="str">
        <f>'1'!$A$3</f>
        <v>Rate Level Review</v>
      </c>
      <c r="B3" s="12"/>
      <c r="L3" s="2"/>
    </row>
    <row r="4" spans="1:13" x14ac:dyDescent="0.2">
      <c r="A4" t="s">
        <v>492</v>
      </c>
      <c r="B4" s="12"/>
      <c r="L4" s="2"/>
    </row>
    <row r="5" spans="1:13" x14ac:dyDescent="0.2">
      <c r="B5" s="12"/>
      <c r="L5" s="2"/>
    </row>
    <row r="6" spans="1:13" x14ac:dyDescent="0.2">
      <c r="L6" s="2"/>
    </row>
    <row r="7" spans="1:13" ht="10.5" thickBot="1" x14ac:dyDescent="0.25">
      <c r="A7" s="6"/>
      <c r="B7" s="6"/>
      <c r="C7" s="6"/>
      <c r="D7" s="6"/>
      <c r="E7" s="6"/>
      <c r="L7" s="2"/>
    </row>
    <row r="8" spans="1:13" ht="10.5" thickTop="1" x14ac:dyDescent="0.2">
      <c r="L8" s="2"/>
    </row>
    <row r="9" spans="1:13" x14ac:dyDescent="0.2">
      <c r="C9" s="52" t="s">
        <v>143</v>
      </c>
      <c r="L9" s="2"/>
      <c r="M9" s="27"/>
    </row>
    <row r="10" spans="1:13" x14ac:dyDescent="0.2">
      <c r="C10" t="s">
        <v>144</v>
      </c>
      <c r="D10" s="11" t="s">
        <v>145</v>
      </c>
      <c r="E10" t="s">
        <v>148</v>
      </c>
      <c r="L10" s="2"/>
      <c r="M10" s="22" t="s">
        <v>165</v>
      </c>
    </row>
    <row r="11" spans="1:13" x14ac:dyDescent="0.2">
      <c r="A11" s="9" t="s">
        <v>142</v>
      </c>
      <c r="B11" s="9"/>
      <c r="C11" s="9" t="str">
        <f>"as of "&amp;TEXT($M$11,"m/d/yy")</f>
        <v>as of 11/30/21</v>
      </c>
      <c r="D11" s="241" t="s">
        <v>146</v>
      </c>
      <c r="E11" s="9" t="s">
        <v>147</v>
      </c>
      <c r="L11" s="2"/>
      <c r="M11" s="52">
        <f>'7.1'!$M$11</f>
        <v>44530</v>
      </c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L12" s="2"/>
    </row>
    <row r="13" spans="1:13" x14ac:dyDescent="0.2">
      <c r="D13" s="11"/>
      <c r="L13" s="2"/>
    </row>
    <row r="14" spans="1:13" x14ac:dyDescent="0.2">
      <c r="A14" t="s">
        <v>150</v>
      </c>
      <c r="C14" s="31">
        <f>'8.3'!C14</f>
        <v>1804688</v>
      </c>
      <c r="D14" s="259">
        <f>'8.3'!E14</f>
        <v>2.5070000000000001</v>
      </c>
      <c r="E14" s="31">
        <f t="shared" ref="E14:E28" si="0">ROUND(C14*D14,0)</f>
        <v>4524353</v>
      </c>
      <c r="L14" s="2"/>
    </row>
    <row r="15" spans="1:13" x14ac:dyDescent="0.2">
      <c r="A15" t="s">
        <v>151</v>
      </c>
      <c r="C15" s="31">
        <f>'8.3'!C15</f>
        <v>9887460</v>
      </c>
      <c r="D15" s="259">
        <f>'8.3'!E15</f>
        <v>2.9409999999999998</v>
      </c>
      <c r="E15" s="31">
        <f t="shared" si="0"/>
        <v>29079020</v>
      </c>
      <c r="L15" s="2"/>
    </row>
    <row r="16" spans="1:13" x14ac:dyDescent="0.2">
      <c r="A16" t="s">
        <v>152</v>
      </c>
      <c r="C16" s="31">
        <f>'8.3'!C16</f>
        <v>997241</v>
      </c>
      <c r="D16" s="259">
        <f>'8.3'!E16</f>
        <v>4</v>
      </c>
      <c r="E16" s="31">
        <f t="shared" si="0"/>
        <v>3988964</v>
      </c>
      <c r="L16" s="2"/>
    </row>
    <row r="17" spans="1:12" x14ac:dyDescent="0.2">
      <c r="A17" t="s">
        <v>153</v>
      </c>
      <c r="C17" s="31">
        <f>'8.3'!C17</f>
        <v>2014726</v>
      </c>
      <c r="D17" s="259">
        <f>'8.3'!E17</f>
        <v>3.6059999999999999</v>
      </c>
      <c r="E17" s="31">
        <f t="shared" si="0"/>
        <v>7265102</v>
      </c>
      <c r="L17" s="2"/>
    </row>
    <row r="18" spans="1:12" x14ac:dyDescent="0.2">
      <c r="A18" t="s">
        <v>154</v>
      </c>
      <c r="C18" s="31">
        <f>'8.3'!C18</f>
        <v>1530357</v>
      </c>
      <c r="D18" s="259">
        <f>'8.3'!E18</f>
        <v>2.46</v>
      </c>
      <c r="E18" s="31">
        <f t="shared" si="0"/>
        <v>3764678</v>
      </c>
      <c r="L18" s="2"/>
    </row>
    <row r="19" spans="1:12" x14ac:dyDescent="0.2">
      <c r="A19" t="s">
        <v>155</v>
      </c>
      <c r="C19" s="31">
        <f>'8.3'!C19</f>
        <v>21261039</v>
      </c>
      <c r="D19" s="259">
        <f>'8.3'!E19</f>
        <v>3.0339999999999998</v>
      </c>
      <c r="E19" s="31">
        <f t="shared" si="0"/>
        <v>64505992</v>
      </c>
      <c r="L19" s="2"/>
    </row>
    <row r="20" spans="1:12" x14ac:dyDescent="0.2">
      <c r="A20" t="s">
        <v>156</v>
      </c>
      <c r="C20" s="31">
        <f>'8.3'!C20</f>
        <v>1237804</v>
      </c>
      <c r="D20" s="259">
        <f>'8.3'!E20</f>
        <v>2.4340000000000002</v>
      </c>
      <c r="E20" s="31">
        <f t="shared" si="0"/>
        <v>3012815</v>
      </c>
      <c r="L20" s="2"/>
    </row>
    <row r="21" spans="1:12" x14ac:dyDescent="0.2">
      <c r="A21" t="s">
        <v>157</v>
      </c>
      <c r="C21" s="31">
        <f>'8.3'!C21</f>
        <v>6298584</v>
      </c>
      <c r="D21" s="259">
        <f>'8.3'!E21</f>
        <v>2.1890000000000001</v>
      </c>
      <c r="E21" s="31">
        <f t="shared" si="0"/>
        <v>13787600</v>
      </c>
      <c r="L21" s="2"/>
    </row>
    <row r="22" spans="1:12" x14ac:dyDescent="0.2">
      <c r="A22" t="s">
        <v>158</v>
      </c>
      <c r="C22" s="31">
        <f>'8.3'!C22</f>
        <v>2663</v>
      </c>
      <c r="D22" s="259">
        <f>'8.3'!E22</f>
        <v>3.19</v>
      </c>
      <c r="E22" s="31">
        <f t="shared" si="0"/>
        <v>8495</v>
      </c>
      <c r="L22" s="2"/>
    </row>
    <row r="23" spans="1:12" x14ac:dyDescent="0.2">
      <c r="A23" t="s">
        <v>159</v>
      </c>
      <c r="B23" s="22"/>
      <c r="C23" s="31">
        <f>'8.3'!C23</f>
        <v>165520</v>
      </c>
      <c r="D23" s="259">
        <f>'8.3'!E23</f>
        <v>2.448</v>
      </c>
      <c r="E23" s="31">
        <f t="shared" si="0"/>
        <v>405193</v>
      </c>
      <c r="L23" s="2"/>
    </row>
    <row r="24" spans="1:12" x14ac:dyDescent="0.2">
      <c r="A24" t="s">
        <v>160</v>
      </c>
      <c r="B24" s="22"/>
      <c r="C24" s="31">
        <f>'8.3'!C24</f>
        <v>1206001</v>
      </c>
      <c r="D24" s="259">
        <f>'8.3'!E24</f>
        <v>4.6920000000000002</v>
      </c>
      <c r="E24" s="31">
        <f t="shared" si="0"/>
        <v>5658557</v>
      </c>
      <c r="L24" s="2"/>
    </row>
    <row r="25" spans="1:12" x14ac:dyDescent="0.2">
      <c r="A25" t="s">
        <v>161</v>
      </c>
      <c r="B25" s="22"/>
      <c r="C25" s="31">
        <f>'8.3'!C25</f>
        <v>10451060</v>
      </c>
      <c r="D25" s="259">
        <f>'8.3'!E25</f>
        <v>2.6240000000000001</v>
      </c>
      <c r="E25" s="31">
        <f t="shared" si="0"/>
        <v>27423581</v>
      </c>
      <c r="L25" s="2"/>
    </row>
    <row r="26" spans="1:12" x14ac:dyDescent="0.2">
      <c r="A26" t="s">
        <v>162</v>
      </c>
      <c r="C26" s="31">
        <f>'8.3'!C26</f>
        <v>78471</v>
      </c>
      <c r="D26" s="259">
        <f>'8.3'!E26</f>
        <v>2.7269999999999999</v>
      </c>
      <c r="E26" s="31">
        <f t="shared" si="0"/>
        <v>213990</v>
      </c>
      <c r="L26" s="2"/>
    </row>
    <row r="27" spans="1:12" x14ac:dyDescent="0.2">
      <c r="A27" t="s">
        <v>163</v>
      </c>
      <c r="C27" s="31">
        <f>'8.3'!C27</f>
        <v>1670749</v>
      </c>
      <c r="D27" s="259">
        <f>'8.3'!E27</f>
        <v>2.8980000000000001</v>
      </c>
      <c r="E27" s="31">
        <f t="shared" si="0"/>
        <v>4841831</v>
      </c>
      <c r="L27" s="2"/>
    </row>
    <row r="28" spans="1:12" x14ac:dyDescent="0.2">
      <c r="A28" t="s">
        <v>164</v>
      </c>
      <c r="C28" s="31">
        <f>'8.3'!C28</f>
        <v>76049</v>
      </c>
      <c r="D28" s="259">
        <f>'8.3'!E28</f>
        <v>3.9449999999999998</v>
      </c>
      <c r="E28" s="31">
        <f t="shared" si="0"/>
        <v>300013</v>
      </c>
      <c r="L28" s="2"/>
    </row>
    <row r="29" spans="1:12" s="59" customFormat="1" x14ac:dyDescent="0.2">
      <c r="A29" s="9"/>
      <c r="B29" s="26"/>
      <c r="C29" s="32"/>
      <c r="D29" s="260"/>
      <c r="E29" s="32"/>
      <c r="L29" s="2"/>
    </row>
    <row r="30" spans="1:12" x14ac:dyDescent="0.2">
      <c r="C30" s="19"/>
      <c r="D30" s="261"/>
      <c r="E30" s="12"/>
      <c r="L30" s="2"/>
    </row>
    <row r="31" spans="1:12" x14ac:dyDescent="0.2">
      <c r="A31" t="s">
        <v>9</v>
      </c>
      <c r="C31" s="31">
        <f>SUM(C14:C28)</f>
        <v>58682412</v>
      </c>
      <c r="D31" s="259">
        <f>E31/C31</f>
        <v>2.8761630316081761</v>
      </c>
      <c r="E31" s="31">
        <f>SUM(E14:E28)</f>
        <v>168780184</v>
      </c>
      <c r="L31" s="2"/>
    </row>
    <row r="32" spans="1:12" x14ac:dyDescent="0.2">
      <c r="L32" s="2"/>
    </row>
    <row r="33" spans="1:13" x14ac:dyDescent="0.2">
      <c r="A33" s="56" t="s">
        <v>120</v>
      </c>
      <c r="B33" t="str">
        <f>'7.1'!B33</f>
        <v>Inforce-Premium as of 11/30/21 at Present Rates</v>
      </c>
      <c r="E33" s="31">
        <f>'7.1'!E33</f>
        <v>330828116</v>
      </c>
      <c r="L33" s="2"/>
      <c r="M33" s="68">
        <f>'7.1'!$M$33</f>
        <v>44561</v>
      </c>
    </row>
    <row r="34" spans="1:13" x14ac:dyDescent="0.2">
      <c r="A34" s="56" t="s">
        <v>124</v>
      </c>
      <c r="B34" t="s">
        <v>149</v>
      </c>
      <c r="E34" s="20">
        <f>ROUND(E31/E33,3)</f>
        <v>0.51</v>
      </c>
      <c r="F34" s="45"/>
      <c r="L34" s="2"/>
    </row>
    <row r="35" spans="1:13" ht="10.5" thickBot="1" x14ac:dyDescent="0.25">
      <c r="A35" s="6"/>
      <c r="B35" s="6"/>
      <c r="C35" s="6"/>
      <c r="D35" s="6"/>
      <c r="E35" s="6"/>
      <c r="L35" s="2"/>
    </row>
    <row r="36" spans="1:13" ht="10.5" thickTop="1" x14ac:dyDescent="0.2">
      <c r="L36" s="2"/>
    </row>
    <row r="37" spans="1:13" x14ac:dyDescent="0.2">
      <c r="A37" t="s">
        <v>17</v>
      </c>
      <c r="L37" s="2"/>
    </row>
    <row r="38" spans="1:13" x14ac:dyDescent="0.2">
      <c r="B38" s="22" t="str">
        <f>C12&amp;" Provided by TWIA"</f>
        <v>(2) Provided by TWIA</v>
      </c>
      <c r="L38" s="2"/>
    </row>
    <row r="39" spans="1:13" x14ac:dyDescent="0.2">
      <c r="B39" s="22" t="str">
        <f>D12&amp;" "&amp;'8.2'!$J$1&amp;", "&amp;'8.3'!$J$2</f>
        <v>(3) Exhibit 8, Sheet 3</v>
      </c>
      <c r="L39" s="2"/>
    </row>
    <row r="40" spans="1:13" x14ac:dyDescent="0.2">
      <c r="B40" s="22" t="str">
        <f>E12&amp;" = "&amp;C12&amp;" * "&amp;D12</f>
        <v>(4) = (2) * (3)</v>
      </c>
      <c r="F40" s="60"/>
      <c r="G40" s="23"/>
      <c r="L40" s="2"/>
    </row>
    <row r="41" spans="1:13" x14ac:dyDescent="0.2">
      <c r="B41" s="22" t="str">
        <f>A33&amp;" "&amp;"Provided by TWIA"</f>
        <v>(5) Provided by TWIA</v>
      </c>
      <c r="L41" s="2"/>
    </row>
    <row r="42" spans="1:13" x14ac:dyDescent="0.2">
      <c r="B42" s="22" t="str">
        <f>A34&amp;" = "&amp;E12&amp;" Total / "&amp;A33&amp;""</f>
        <v>(6) = (4) Total / (5)</v>
      </c>
      <c r="L42" s="2"/>
    </row>
    <row r="43" spans="1:13" s="59" customForma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L43" s="2"/>
    </row>
    <row r="44" spans="1:13" x14ac:dyDescent="0.2">
      <c r="L44" s="2"/>
    </row>
    <row r="45" spans="1:13" x14ac:dyDescent="0.2">
      <c r="L45" s="2"/>
    </row>
    <row r="46" spans="1:13" x14ac:dyDescent="0.2">
      <c r="L46" s="2"/>
    </row>
    <row r="47" spans="1:13" x14ac:dyDescent="0.2">
      <c r="L47" s="2"/>
    </row>
    <row r="48" spans="1:13" x14ac:dyDescent="0.2">
      <c r="L48" s="2"/>
    </row>
    <row r="49" spans="1:12" x14ac:dyDescent="0.2">
      <c r="L49" s="2"/>
    </row>
    <row r="50" spans="1:12" x14ac:dyDescent="0.2">
      <c r="L50" s="2"/>
    </row>
    <row r="51" spans="1:12" s="59" customFormat="1" x14ac:dyDescent="0.2">
      <c r="A51"/>
      <c r="B51"/>
      <c r="C51"/>
      <c r="D51"/>
      <c r="E51"/>
      <c r="L51" s="2"/>
    </row>
    <row r="52" spans="1:12" s="59" customFormat="1" x14ac:dyDescent="0.2">
      <c r="L52" s="2"/>
    </row>
    <row r="53" spans="1:12" s="59" customFormat="1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L53" s="2"/>
    </row>
    <row r="54" spans="1:12" s="59" customFormat="1" x14ac:dyDescent="0.2">
      <c r="L54" s="2"/>
    </row>
    <row r="55" spans="1:12" s="59" customFormat="1" x14ac:dyDescent="0.2">
      <c r="A55" s="65"/>
      <c r="C55" s="38"/>
      <c r="D55" s="38"/>
      <c r="E55" s="38"/>
      <c r="F55" s="38"/>
      <c r="G55" s="33"/>
      <c r="H55" s="33"/>
      <c r="I55" s="33"/>
      <c r="J55" s="33"/>
      <c r="L55" s="2"/>
    </row>
    <row r="56" spans="1:12" s="59" customFormat="1" x14ac:dyDescent="0.2">
      <c r="A56" s="65"/>
      <c r="C56" s="38"/>
      <c r="D56" s="38"/>
      <c r="E56" s="38"/>
      <c r="F56" s="38"/>
      <c r="G56" s="33"/>
      <c r="H56" s="33"/>
      <c r="I56" s="33"/>
      <c r="J56" s="33"/>
      <c r="L56" s="2"/>
    </row>
    <row r="57" spans="1:12" s="59" customFormat="1" x14ac:dyDescent="0.2">
      <c r="A57" s="65"/>
      <c r="C57" s="38"/>
      <c r="D57" s="38"/>
      <c r="E57" s="38"/>
      <c r="F57" s="38"/>
      <c r="G57" s="33"/>
      <c r="H57" s="33"/>
      <c r="I57" s="33"/>
      <c r="J57" s="33"/>
      <c r="L57" s="2"/>
    </row>
    <row r="58" spans="1:12" s="59" customFormat="1" x14ac:dyDescent="0.2">
      <c r="A58" s="65"/>
      <c r="C58" s="38"/>
      <c r="D58" s="38"/>
      <c r="E58" s="38"/>
      <c r="F58" s="38"/>
      <c r="G58" s="33"/>
      <c r="H58" s="33"/>
      <c r="I58" s="33"/>
      <c r="J58" s="33"/>
      <c r="L58" s="2"/>
    </row>
    <row r="59" spans="1:12" s="59" customFormat="1" x14ac:dyDescent="0.2">
      <c r="A59" s="65"/>
      <c r="C59" s="38"/>
      <c r="D59" s="38"/>
      <c r="E59" s="38"/>
      <c r="F59" s="38"/>
      <c r="G59" s="33"/>
      <c r="H59" s="33"/>
      <c r="I59" s="33"/>
      <c r="J59" s="33"/>
      <c r="L59" s="2"/>
    </row>
    <row r="60" spans="1:12" s="59" customFormat="1" x14ac:dyDescent="0.2">
      <c r="A60" s="65"/>
      <c r="C60" s="38"/>
      <c r="D60" s="38"/>
      <c r="E60" s="38"/>
      <c r="F60" s="38"/>
      <c r="G60" s="33"/>
      <c r="H60" s="33"/>
      <c r="I60" s="33"/>
      <c r="J60" s="33"/>
      <c r="L60" s="2"/>
    </row>
    <row r="61" spans="1:12" s="59" customFormat="1" x14ac:dyDescent="0.2">
      <c r="A61" s="65"/>
      <c r="C61" s="38"/>
      <c r="D61" s="38"/>
      <c r="E61" s="38"/>
      <c r="F61" s="38"/>
      <c r="G61" s="33"/>
      <c r="H61" s="33"/>
      <c r="I61" s="33"/>
      <c r="J61" s="33"/>
      <c r="L61" s="2"/>
    </row>
    <row r="62" spans="1:12" s="59" customFormat="1" x14ac:dyDescent="0.2">
      <c r="A62" s="65"/>
      <c r="C62" s="38"/>
      <c r="D62" s="38"/>
      <c r="E62" s="38"/>
      <c r="F62" s="38"/>
      <c r="G62" s="33"/>
      <c r="H62" s="33"/>
      <c r="I62" s="33"/>
      <c r="J62" s="33"/>
      <c r="L62" s="2"/>
    </row>
    <row r="63" spans="1:12" s="59" customFormat="1" x14ac:dyDescent="0.2">
      <c r="A63" s="65"/>
      <c r="C63" s="29"/>
      <c r="D63" s="29"/>
      <c r="E63" s="29"/>
      <c r="F63" s="29"/>
      <c r="G63" s="29"/>
      <c r="H63" s="29"/>
      <c r="I63" s="29"/>
      <c r="J63" s="29"/>
      <c r="L63" s="2"/>
    </row>
    <row r="64" spans="1:12" x14ac:dyDescent="0.2">
      <c r="B64" s="25"/>
      <c r="C64" s="60"/>
      <c r="D64" s="60"/>
      <c r="E64" s="60"/>
      <c r="F64" s="60"/>
      <c r="G64" s="23"/>
      <c r="L64" s="2"/>
    </row>
    <row r="65" spans="1:12" x14ac:dyDescent="0.2">
      <c r="B65" s="25"/>
      <c r="C65" s="60"/>
      <c r="D65" s="60"/>
      <c r="E65" s="60"/>
      <c r="F65" s="60"/>
      <c r="G65" s="23"/>
      <c r="L65" s="2"/>
    </row>
    <row r="66" spans="1:12" x14ac:dyDescent="0.2">
      <c r="B66" s="25"/>
      <c r="C66" s="60"/>
      <c r="D66" s="60"/>
      <c r="E66" s="60"/>
      <c r="F66" s="60"/>
      <c r="G66" s="23"/>
      <c r="L66" s="2"/>
    </row>
    <row r="67" spans="1:12" x14ac:dyDescent="0.2">
      <c r="B67" s="25"/>
      <c r="C67" s="60"/>
      <c r="D67" s="60"/>
      <c r="E67" s="60"/>
      <c r="F67" s="60"/>
      <c r="G67" s="23"/>
      <c r="L67" s="2"/>
    </row>
    <row r="68" spans="1:12" ht="10.5" thickBot="1" x14ac:dyDescent="0.25">
      <c r="L68" s="2"/>
    </row>
    <row r="69" spans="1:12" ht="10.5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ageMargins left="0.5" right="0.5" top="0.5" bottom="0.5" header="0.5" footer="0.5"/>
  <pageSetup orientation="portrait" blackAndWhite="1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D9C936-C41E-4E96-8F00-00865C697490}">
  <sheetPr>
    <tabColor rgb="FF92D050"/>
  </sheetPr>
  <dimension ref="A1:M69"/>
  <sheetViews>
    <sheetView showGridLines="0" topLeftCell="A28" workbookViewId="0">
      <selection activeCell="A4" sqref="A4"/>
    </sheetView>
  </sheetViews>
  <sheetFormatPr defaultColWidth="11.33203125" defaultRowHeight="10" x14ac:dyDescent="0.2"/>
  <cols>
    <col min="1" max="1" width="3.44140625" bestFit="1" customWidth="1"/>
    <col min="2" max="2" width="11.33203125" customWidth="1"/>
    <col min="3" max="3" width="14" customWidth="1"/>
    <col min="4" max="4" width="21.33203125" customWidth="1"/>
    <col min="5" max="5" width="15.33203125" customWidth="1"/>
    <col min="6" max="7" width="11.33203125" customWidth="1"/>
    <col min="8" max="8" width="11.33203125" hidden="1" customWidth="1"/>
    <col min="9" max="10" width="11.33203125" customWidth="1"/>
    <col min="11" max="11" width="5.109375" customWidth="1"/>
  </cols>
  <sheetData>
    <row r="1" spans="1:13" ht="10.5" x14ac:dyDescent="0.25">
      <c r="A1" s="8" t="str">
        <f>'1'!$A$1</f>
        <v>Texas Windstorm Insurance Association</v>
      </c>
      <c r="B1" s="12"/>
      <c r="K1" s="7" t="s">
        <v>298</v>
      </c>
      <c r="L1" s="1"/>
    </row>
    <row r="2" spans="1:13" ht="10.5" x14ac:dyDescent="0.25">
      <c r="A2" s="8" t="str">
        <f>'1'!$A$2</f>
        <v>Residential Property - Wind &amp; Hail</v>
      </c>
      <c r="B2" s="12"/>
      <c r="K2" s="7" t="s">
        <v>91</v>
      </c>
      <c r="L2" s="2"/>
    </row>
    <row r="3" spans="1:13" ht="10.5" x14ac:dyDescent="0.25">
      <c r="A3" s="8" t="str">
        <f>'1'!$A$3</f>
        <v>Rate Level Review</v>
      </c>
      <c r="B3" s="12"/>
      <c r="L3" s="2"/>
    </row>
    <row r="4" spans="1:13" x14ac:dyDescent="0.2">
      <c r="A4" t="s">
        <v>494</v>
      </c>
      <c r="B4" s="12"/>
      <c r="L4" s="2"/>
    </row>
    <row r="5" spans="1:13" x14ac:dyDescent="0.2">
      <c r="B5" s="12"/>
      <c r="L5" s="2"/>
    </row>
    <row r="6" spans="1:13" x14ac:dyDescent="0.2">
      <c r="L6" s="2"/>
    </row>
    <row r="7" spans="1:13" ht="10.5" thickBot="1" x14ac:dyDescent="0.25">
      <c r="A7" s="6"/>
      <c r="B7" s="6"/>
      <c r="C7" s="6"/>
      <c r="D7" s="6"/>
      <c r="E7" s="6"/>
      <c r="L7" s="2"/>
    </row>
    <row r="8" spans="1:13" ht="10.5" thickTop="1" x14ac:dyDescent="0.2">
      <c r="L8" s="2"/>
    </row>
    <row r="9" spans="1:13" x14ac:dyDescent="0.2">
      <c r="C9" s="52" t="s">
        <v>143</v>
      </c>
      <c r="L9" s="2"/>
      <c r="M9" s="27"/>
    </row>
    <row r="10" spans="1:13" x14ac:dyDescent="0.2">
      <c r="C10" t="s">
        <v>144</v>
      </c>
      <c r="D10" s="11" t="s">
        <v>145</v>
      </c>
      <c r="E10" t="s">
        <v>148</v>
      </c>
      <c r="L10" s="2"/>
      <c r="M10" s="22" t="s">
        <v>165</v>
      </c>
    </row>
    <row r="11" spans="1:13" x14ac:dyDescent="0.2">
      <c r="A11" s="9" t="s">
        <v>142</v>
      </c>
      <c r="B11" s="9"/>
      <c r="C11" s="9" t="str">
        <f>"as of "&amp;TEXT($M$11,"m/d/yy")</f>
        <v>as of 11/30/21</v>
      </c>
      <c r="D11" s="241" t="s">
        <v>146</v>
      </c>
      <c r="E11" s="9" t="s">
        <v>147</v>
      </c>
      <c r="L11" s="2"/>
      <c r="M11" s="52">
        <f>'7.1'!$M$11</f>
        <v>44530</v>
      </c>
    </row>
    <row r="12" spans="1:13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L12" s="2"/>
    </row>
    <row r="13" spans="1:13" x14ac:dyDescent="0.2">
      <c r="D13" s="11"/>
      <c r="L13" s="2"/>
    </row>
    <row r="14" spans="1:13" x14ac:dyDescent="0.2">
      <c r="A14" t="s">
        <v>150</v>
      </c>
      <c r="C14" s="31">
        <f>'8.4'!C14</f>
        <v>1804688</v>
      </c>
      <c r="D14" s="259">
        <f>'8.4'!E14</f>
        <v>2.1320000000000001</v>
      </c>
      <c r="E14" s="31">
        <f t="shared" ref="E14:E28" si="0">ROUND(C14*D14,0)</f>
        <v>3847595</v>
      </c>
      <c r="L14" s="2"/>
    </row>
    <row r="15" spans="1:13" x14ac:dyDescent="0.2">
      <c r="A15" t="s">
        <v>151</v>
      </c>
      <c r="C15" s="31">
        <f>'8.4'!C15</f>
        <v>9887460</v>
      </c>
      <c r="D15" s="259">
        <f>'8.4'!E15</f>
        <v>1.7470000000000001</v>
      </c>
      <c r="E15" s="31">
        <f t="shared" si="0"/>
        <v>17273393</v>
      </c>
      <c r="L15" s="2"/>
    </row>
    <row r="16" spans="1:13" x14ac:dyDescent="0.2">
      <c r="A16" t="s">
        <v>152</v>
      </c>
      <c r="C16" s="31">
        <f>'8.4'!C16</f>
        <v>997241</v>
      </c>
      <c r="D16" s="259">
        <f>'8.4'!E16</f>
        <v>3.3029999999999999</v>
      </c>
      <c r="E16" s="31">
        <f t="shared" si="0"/>
        <v>3293887</v>
      </c>
      <c r="L16" s="2"/>
    </row>
    <row r="17" spans="1:12" x14ac:dyDescent="0.2">
      <c r="A17" t="s">
        <v>153</v>
      </c>
      <c r="C17" s="31">
        <f>'8.4'!C17</f>
        <v>2014726</v>
      </c>
      <c r="D17" s="259">
        <f>'8.4'!E17</f>
        <v>1.4950000000000001</v>
      </c>
      <c r="E17" s="31">
        <f t="shared" si="0"/>
        <v>3012015</v>
      </c>
      <c r="L17" s="2"/>
    </row>
    <row r="18" spans="1:12" x14ac:dyDescent="0.2">
      <c r="A18" t="s">
        <v>154</v>
      </c>
      <c r="C18" s="31">
        <f>'8.4'!C18</f>
        <v>1530357</v>
      </c>
      <c r="D18" s="259">
        <f>'8.4'!E18</f>
        <v>1.8540000000000001</v>
      </c>
      <c r="E18" s="31">
        <f t="shared" si="0"/>
        <v>2837282</v>
      </c>
      <c r="L18" s="2"/>
    </row>
    <row r="19" spans="1:12" x14ac:dyDescent="0.2">
      <c r="A19" t="s">
        <v>155</v>
      </c>
      <c r="C19" s="31">
        <f>'8.4'!C19</f>
        <v>21261039</v>
      </c>
      <c r="D19" s="259">
        <f>'8.4'!E19</f>
        <v>2.5649999999999999</v>
      </c>
      <c r="E19" s="31">
        <f t="shared" si="0"/>
        <v>54534565</v>
      </c>
      <c r="L19" s="2"/>
    </row>
    <row r="20" spans="1:12" x14ac:dyDescent="0.2">
      <c r="A20" t="s">
        <v>156</v>
      </c>
      <c r="C20" s="31">
        <f>'8.4'!C20</f>
        <v>1237804</v>
      </c>
      <c r="D20" s="259">
        <f>'8.4'!E20</f>
        <v>3.04</v>
      </c>
      <c r="E20" s="31">
        <f t="shared" si="0"/>
        <v>3762924</v>
      </c>
      <c r="L20" s="2"/>
    </row>
    <row r="21" spans="1:12" x14ac:dyDescent="0.2">
      <c r="A21" t="s">
        <v>157</v>
      </c>
      <c r="C21" s="31">
        <f>'8.4'!C21</f>
        <v>6298584</v>
      </c>
      <c r="D21" s="259">
        <f>'8.4'!E21</f>
        <v>2.5489999999999999</v>
      </c>
      <c r="E21" s="31">
        <f t="shared" si="0"/>
        <v>16055091</v>
      </c>
      <c r="L21" s="2"/>
    </row>
    <row r="22" spans="1:12" x14ac:dyDescent="0.2">
      <c r="A22" t="s">
        <v>158</v>
      </c>
      <c r="C22" s="31">
        <f>'8.4'!C22</f>
        <v>2663</v>
      </c>
      <c r="D22" s="259">
        <f>'8.4'!E22</f>
        <v>1.54</v>
      </c>
      <c r="E22" s="31">
        <f t="shared" si="0"/>
        <v>4101</v>
      </c>
      <c r="L22" s="2"/>
    </row>
    <row r="23" spans="1:12" x14ac:dyDescent="0.2">
      <c r="A23" t="s">
        <v>159</v>
      </c>
      <c r="B23" s="22"/>
      <c r="C23" s="31">
        <f>'8.4'!C23</f>
        <v>165520</v>
      </c>
      <c r="D23" s="259">
        <f>'8.4'!E23</f>
        <v>1.1140000000000001</v>
      </c>
      <c r="E23" s="31">
        <f t="shared" si="0"/>
        <v>184389</v>
      </c>
      <c r="L23" s="2"/>
    </row>
    <row r="24" spans="1:12" x14ac:dyDescent="0.2">
      <c r="A24" t="s">
        <v>160</v>
      </c>
      <c r="B24" s="22"/>
      <c r="C24" s="31">
        <f>'8.4'!C24</f>
        <v>1206001</v>
      </c>
      <c r="D24" s="259">
        <f>'8.4'!E24</f>
        <v>2.5</v>
      </c>
      <c r="E24" s="31">
        <f t="shared" si="0"/>
        <v>3015003</v>
      </c>
      <c r="L24" s="2"/>
    </row>
    <row r="25" spans="1:12" x14ac:dyDescent="0.2">
      <c r="A25" t="s">
        <v>161</v>
      </c>
      <c r="B25" s="22"/>
      <c r="C25" s="31">
        <f>'8.4'!C25</f>
        <v>10451060</v>
      </c>
      <c r="D25" s="259">
        <f>'8.4'!E25</f>
        <v>1.6990000000000001</v>
      </c>
      <c r="E25" s="31">
        <f t="shared" si="0"/>
        <v>17756351</v>
      </c>
      <c r="L25" s="2"/>
    </row>
    <row r="26" spans="1:12" x14ac:dyDescent="0.2">
      <c r="A26" t="s">
        <v>162</v>
      </c>
      <c r="C26" s="31">
        <f>'8.4'!C26</f>
        <v>78471</v>
      </c>
      <c r="D26" s="259">
        <f>'8.4'!E26</f>
        <v>1.8779999999999999</v>
      </c>
      <c r="E26" s="31">
        <f t="shared" si="0"/>
        <v>147369</v>
      </c>
      <c r="L26" s="2"/>
    </row>
    <row r="27" spans="1:12" x14ac:dyDescent="0.2">
      <c r="A27" t="s">
        <v>163</v>
      </c>
      <c r="C27" s="31">
        <f>'8.4'!C27</f>
        <v>1670749</v>
      </c>
      <c r="D27" s="259">
        <f>'8.4'!E27</f>
        <v>1.694</v>
      </c>
      <c r="E27" s="31">
        <f t="shared" si="0"/>
        <v>2830249</v>
      </c>
      <c r="L27" s="2"/>
    </row>
    <row r="28" spans="1:12" x14ac:dyDescent="0.2">
      <c r="A28" t="s">
        <v>164</v>
      </c>
      <c r="C28" s="31">
        <f>'8.4'!C28</f>
        <v>76049</v>
      </c>
      <c r="D28" s="259">
        <f>'8.4'!E28</f>
        <v>2.069</v>
      </c>
      <c r="E28" s="31">
        <f t="shared" si="0"/>
        <v>157345</v>
      </c>
      <c r="L28" s="2"/>
    </row>
    <row r="29" spans="1:12" s="59" customFormat="1" x14ac:dyDescent="0.2">
      <c r="A29" s="9"/>
      <c r="B29" s="26"/>
      <c r="C29" s="32"/>
      <c r="D29" s="260"/>
      <c r="E29" s="32"/>
      <c r="L29" s="2"/>
    </row>
    <row r="30" spans="1:12" x14ac:dyDescent="0.2">
      <c r="C30" s="19"/>
      <c r="D30" s="261"/>
      <c r="E30" s="12"/>
      <c r="L30" s="2"/>
    </row>
    <row r="31" spans="1:12" x14ac:dyDescent="0.2">
      <c r="A31" t="s">
        <v>9</v>
      </c>
      <c r="C31" s="31">
        <f>SUM(C14:C28)</f>
        <v>58682412</v>
      </c>
      <c r="D31" s="259">
        <f>E31/C31</f>
        <v>2.1933583609344485</v>
      </c>
      <c r="E31" s="31">
        <f>SUM(E14:E28)</f>
        <v>128711559</v>
      </c>
      <c r="L31" s="2"/>
    </row>
    <row r="32" spans="1:12" x14ac:dyDescent="0.2">
      <c r="L32" s="2"/>
    </row>
    <row r="33" spans="1:13" x14ac:dyDescent="0.2">
      <c r="A33" s="56" t="s">
        <v>120</v>
      </c>
      <c r="B33" t="str">
        <f>'7.1'!B33</f>
        <v>Inforce-Premium as of 11/30/21 at Present Rates</v>
      </c>
      <c r="E33" s="31">
        <f>'7.1'!E33</f>
        <v>330828116</v>
      </c>
      <c r="L33" s="2"/>
      <c r="M33" s="68">
        <f>'7.1'!$M$33</f>
        <v>44561</v>
      </c>
    </row>
    <row r="34" spans="1:13" x14ac:dyDescent="0.2">
      <c r="A34" s="56" t="s">
        <v>124</v>
      </c>
      <c r="B34" t="s">
        <v>149</v>
      </c>
      <c r="E34" s="20">
        <f>ROUND(E31/E33,3)</f>
        <v>0.38900000000000001</v>
      </c>
      <c r="F34" s="45"/>
      <c r="L34" s="2"/>
    </row>
    <row r="35" spans="1:13" ht="10.5" thickBot="1" x14ac:dyDescent="0.25">
      <c r="A35" s="6"/>
      <c r="B35" s="6"/>
      <c r="C35" s="6"/>
      <c r="D35" s="6"/>
      <c r="E35" s="6"/>
      <c r="L35" s="2"/>
    </row>
    <row r="36" spans="1:13" ht="10.5" thickTop="1" x14ac:dyDescent="0.2">
      <c r="L36" s="2"/>
    </row>
    <row r="37" spans="1:13" x14ac:dyDescent="0.2">
      <c r="A37" t="s">
        <v>17</v>
      </c>
      <c r="L37" s="2"/>
    </row>
    <row r="38" spans="1:13" x14ac:dyDescent="0.2">
      <c r="B38" s="22" t="str">
        <f>C12&amp;" Provided by TWIA"</f>
        <v>(2) Provided by TWIA</v>
      </c>
      <c r="L38" s="2"/>
    </row>
    <row r="39" spans="1:13" x14ac:dyDescent="0.2">
      <c r="B39" s="22" t="str">
        <f>D12&amp;" "&amp;'8.2'!$J$1&amp;", "&amp;'8.4'!$J$2</f>
        <v>(3) Exhibit 8, Sheet 4</v>
      </c>
      <c r="L39" s="2"/>
    </row>
    <row r="40" spans="1:13" x14ac:dyDescent="0.2">
      <c r="B40" s="22" t="str">
        <f>E12&amp;" = "&amp;C12&amp;" * "&amp;D12</f>
        <v>(4) = (2) * (3)</v>
      </c>
      <c r="F40" s="60"/>
      <c r="G40" s="23"/>
      <c r="L40" s="2"/>
    </row>
    <row r="41" spans="1:13" x14ac:dyDescent="0.2">
      <c r="B41" s="22" t="str">
        <f>A33&amp;" "&amp;"Provided by TWIA"</f>
        <v>(5) Provided by TWIA</v>
      </c>
      <c r="L41" s="2"/>
    </row>
    <row r="42" spans="1:13" x14ac:dyDescent="0.2">
      <c r="B42" s="22" t="str">
        <f>A34&amp;" = "&amp;E12&amp;" Total / "&amp;A33&amp;""</f>
        <v>(6) = (4) Total / (5)</v>
      </c>
      <c r="L42" s="2"/>
    </row>
    <row r="43" spans="1:13" s="59" customFormat="1" x14ac:dyDescent="0.2">
      <c r="A43" s="45"/>
      <c r="B43" s="45"/>
      <c r="C43" s="45"/>
      <c r="D43" s="45"/>
      <c r="E43" s="45"/>
      <c r="F43" s="45"/>
      <c r="G43" s="45"/>
      <c r="H43" s="45"/>
      <c r="I43" s="45"/>
      <c r="J43" s="45"/>
      <c r="L43" s="2"/>
    </row>
    <row r="44" spans="1:13" x14ac:dyDescent="0.2">
      <c r="L44" s="2"/>
    </row>
    <row r="45" spans="1:13" x14ac:dyDescent="0.2">
      <c r="L45" s="2"/>
    </row>
    <row r="46" spans="1:13" x14ac:dyDescent="0.2">
      <c r="L46" s="2"/>
    </row>
    <row r="47" spans="1:13" x14ac:dyDescent="0.2">
      <c r="L47" s="2"/>
    </row>
    <row r="48" spans="1:13" x14ac:dyDescent="0.2">
      <c r="L48" s="2"/>
    </row>
    <row r="49" spans="1:12" x14ac:dyDescent="0.2">
      <c r="L49" s="2"/>
    </row>
    <row r="50" spans="1:12" x14ac:dyDescent="0.2">
      <c r="L50" s="2"/>
    </row>
    <row r="51" spans="1:12" s="59" customFormat="1" x14ac:dyDescent="0.2">
      <c r="A51"/>
      <c r="B51"/>
      <c r="C51"/>
      <c r="D51"/>
      <c r="E51"/>
      <c r="L51" s="2"/>
    </row>
    <row r="52" spans="1:12" s="59" customFormat="1" x14ac:dyDescent="0.2">
      <c r="L52" s="2"/>
    </row>
    <row r="53" spans="1:12" s="59" customFormat="1" x14ac:dyDescent="0.2">
      <c r="A53" s="45"/>
      <c r="B53" s="45"/>
      <c r="C53" s="45"/>
      <c r="D53" s="45"/>
      <c r="E53" s="45"/>
      <c r="F53" s="45"/>
      <c r="G53" s="45"/>
      <c r="H53" s="45"/>
      <c r="I53" s="45"/>
      <c r="J53" s="45"/>
      <c r="L53" s="2"/>
    </row>
    <row r="54" spans="1:12" s="59" customFormat="1" x14ac:dyDescent="0.2">
      <c r="L54" s="2"/>
    </row>
    <row r="55" spans="1:12" s="59" customFormat="1" x14ac:dyDescent="0.2">
      <c r="A55" s="65"/>
      <c r="C55" s="38"/>
      <c r="D55" s="38"/>
      <c r="E55" s="38"/>
      <c r="F55" s="38"/>
      <c r="G55" s="33"/>
      <c r="H55" s="33"/>
      <c r="I55" s="33"/>
      <c r="J55" s="33"/>
      <c r="L55" s="2"/>
    </row>
    <row r="56" spans="1:12" s="59" customFormat="1" x14ac:dyDescent="0.2">
      <c r="A56" s="65"/>
      <c r="C56" s="38"/>
      <c r="D56" s="38"/>
      <c r="E56" s="38"/>
      <c r="F56" s="38"/>
      <c r="G56" s="33"/>
      <c r="H56" s="33"/>
      <c r="I56" s="33"/>
      <c r="J56" s="33"/>
      <c r="L56" s="2"/>
    </row>
    <row r="57" spans="1:12" s="59" customFormat="1" x14ac:dyDescent="0.2">
      <c r="A57" s="65"/>
      <c r="C57" s="38"/>
      <c r="D57" s="38"/>
      <c r="E57" s="38"/>
      <c r="F57" s="38"/>
      <c r="G57" s="33"/>
      <c r="H57" s="33"/>
      <c r="I57" s="33"/>
      <c r="J57" s="33"/>
      <c r="L57" s="2"/>
    </row>
    <row r="58" spans="1:12" s="59" customFormat="1" x14ac:dyDescent="0.2">
      <c r="A58" s="65"/>
      <c r="C58" s="38"/>
      <c r="D58" s="38"/>
      <c r="E58" s="38"/>
      <c r="F58" s="38"/>
      <c r="G58" s="33"/>
      <c r="H58" s="33"/>
      <c r="I58" s="33"/>
      <c r="J58" s="33"/>
      <c r="L58" s="2"/>
    </row>
    <row r="59" spans="1:12" s="59" customFormat="1" x14ac:dyDescent="0.2">
      <c r="A59" s="65"/>
      <c r="C59" s="38"/>
      <c r="D59" s="38"/>
      <c r="E59" s="38"/>
      <c r="F59" s="38"/>
      <c r="G59" s="33"/>
      <c r="H59" s="33"/>
      <c r="I59" s="33"/>
      <c r="J59" s="33"/>
      <c r="L59" s="2"/>
    </row>
    <row r="60" spans="1:12" s="59" customFormat="1" x14ac:dyDescent="0.2">
      <c r="A60" s="65"/>
      <c r="C60" s="38"/>
      <c r="D60" s="38"/>
      <c r="E60" s="38"/>
      <c r="F60" s="38"/>
      <c r="G60" s="33"/>
      <c r="H60" s="33"/>
      <c r="I60" s="33"/>
      <c r="J60" s="33"/>
      <c r="L60" s="2"/>
    </row>
    <row r="61" spans="1:12" s="59" customFormat="1" x14ac:dyDescent="0.2">
      <c r="A61" s="65"/>
      <c r="C61" s="38"/>
      <c r="D61" s="38"/>
      <c r="E61" s="38"/>
      <c r="F61" s="38"/>
      <c r="G61" s="33"/>
      <c r="H61" s="33"/>
      <c r="I61" s="33"/>
      <c r="J61" s="33"/>
      <c r="L61" s="2"/>
    </row>
    <row r="62" spans="1:12" s="59" customFormat="1" x14ac:dyDescent="0.2">
      <c r="A62" s="65"/>
      <c r="C62" s="38"/>
      <c r="D62" s="38"/>
      <c r="E62" s="38"/>
      <c r="F62" s="38"/>
      <c r="G62" s="33"/>
      <c r="H62" s="33"/>
      <c r="I62" s="33"/>
      <c r="J62" s="33"/>
      <c r="L62" s="2"/>
    </row>
    <row r="63" spans="1:12" s="59" customFormat="1" x14ac:dyDescent="0.2">
      <c r="A63" s="65"/>
      <c r="C63" s="29"/>
      <c r="D63" s="29"/>
      <c r="E63" s="29"/>
      <c r="F63" s="29"/>
      <c r="G63" s="29"/>
      <c r="H63" s="29"/>
      <c r="I63" s="29"/>
      <c r="J63" s="29"/>
      <c r="L63" s="2"/>
    </row>
    <row r="64" spans="1:12" x14ac:dyDescent="0.2">
      <c r="B64" s="25"/>
      <c r="C64" s="60"/>
      <c r="D64" s="60"/>
      <c r="E64" s="60"/>
      <c r="F64" s="60"/>
      <c r="G64" s="23"/>
      <c r="L64" s="2"/>
    </row>
    <row r="65" spans="1:12" x14ac:dyDescent="0.2">
      <c r="B65" s="25"/>
      <c r="C65" s="60"/>
      <c r="D65" s="60"/>
      <c r="E65" s="60"/>
      <c r="F65" s="60"/>
      <c r="G65" s="23"/>
      <c r="L65" s="2"/>
    </row>
    <row r="66" spans="1:12" x14ac:dyDescent="0.2">
      <c r="B66" s="25"/>
      <c r="C66" s="60"/>
      <c r="D66" s="60"/>
      <c r="E66" s="60"/>
      <c r="F66" s="60"/>
      <c r="G66" s="23"/>
      <c r="L66" s="2"/>
    </row>
    <row r="67" spans="1:12" x14ac:dyDescent="0.2">
      <c r="B67" s="25"/>
      <c r="C67" s="60"/>
      <c r="D67" s="60"/>
      <c r="E67" s="60"/>
      <c r="F67" s="60"/>
      <c r="G67" s="23"/>
      <c r="L67" s="2"/>
    </row>
    <row r="68" spans="1:12" ht="10.5" thickBot="1" x14ac:dyDescent="0.25">
      <c r="L68" s="2"/>
    </row>
    <row r="69" spans="1:12" ht="10.5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5"/>
      <c r="L69" s="3"/>
    </row>
  </sheetData>
  <pageMargins left="0.5" right="0.5" top="0.5" bottom="0.5" header="0.5" footer="0.5"/>
  <pageSetup orientation="portrait" blackAndWhite="1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7">
    <tabColor rgb="FF92D050"/>
  </sheetPr>
  <dimension ref="A1:N70"/>
  <sheetViews>
    <sheetView showGridLines="0" topLeftCell="A28" workbookViewId="0">
      <selection activeCell="K28" sqref="K28"/>
    </sheetView>
  </sheetViews>
  <sheetFormatPr defaultColWidth="11.33203125" defaultRowHeight="10" x14ac:dyDescent="0.2"/>
  <cols>
    <col min="1" max="1" width="2.44140625" bestFit="1" customWidth="1"/>
    <col min="2" max="2" width="11.33203125" customWidth="1"/>
    <col min="3" max="4" width="15.33203125" customWidth="1"/>
    <col min="5" max="9" width="11.33203125" customWidth="1"/>
    <col min="10" max="10" width="4.6640625" customWidth="1"/>
  </cols>
  <sheetData>
    <row r="1" spans="1:14" ht="10.5" x14ac:dyDescent="0.25">
      <c r="A1" s="8" t="str">
        <f>'1'!$A$1</f>
        <v>Texas Windstorm Insurance Association</v>
      </c>
      <c r="B1" s="12"/>
      <c r="J1" s="7" t="s">
        <v>168</v>
      </c>
      <c r="K1" s="1"/>
      <c r="M1" t="s">
        <v>428</v>
      </c>
      <c r="N1" t="s">
        <v>442</v>
      </c>
    </row>
    <row r="2" spans="1:14" ht="10.5" x14ac:dyDescent="0.25">
      <c r="A2" s="8" t="str">
        <f>'1'!$A$2</f>
        <v>Residential Property - Wind &amp; Hail</v>
      </c>
      <c r="B2" s="12"/>
      <c r="J2" s="7" t="s">
        <v>21</v>
      </c>
      <c r="K2" s="2"/>
    </row>
    <row r="3" spans="1:14" ht="10.5" x14ac:dyDescent="0.25">
      <c r="A3" s="8" t="str">
        <f>'1'!$A$3</f>
        <v>Rate Level Review</v>
      </c>
      <c r="B3" s="12"/>
      <c r="K3" s="2"/>
    </row>
    <row r="4" spans="1:14" x14ac:dyDescent="0.2">
      <c r="A4" t="s">
        <v>170</v>
      </c>
      <c r="B4" s="12"/>
      <c r="K4" s="2"/>
    </row>
    <row r="5" spans="1:14" x14ac:dyDescent="0.2">
      <c r="B5" s="12"/>
      <c r="K5" s="2"/>
    </row>
    <row r="6" spans="1:14" x14ac:dyDescent="0.2">
      <c r="K6" s="2"/>
    </row>
    <row r="7" spans="1:14" ht="10.5" thickBot="1" x14ac:dyDescent="0.25">
      <c r="A7" s="6"/>
      <c r="B7" s="6"/>
      <c r="C7" s="6"/>
      <c r="D7" s="6"/>
      <c r="E7" s="6"/>
      <c r="K7" s="2"/>
    </row>
    <row r="8" spans="1:14" ht="10.5" thickTop="1" x14ac:dyDescent="0.2">
      <c r="K8" s="2"/>
    </row>
    <row r="9" spans="1:14" x14ac:dyDescent="0.2">
      <c r="C9" s="52" t="s">
        <v>143</v>
      </c>
      <c r="D9" t="s">
        <v>71</v>
      </c>
      <c r="K9" s="2"/>
      <c r="L9" s="27"/>
    </row>
    <row r="10" spans="1:14" x14ac:dyDescent="0.2">
      <c r="C10" t="s">
        <v>144</v>
      </c>
      <c r="D10" t="s">
        <v>166</v>
      </c>
      <c r="E10" t="s">
        <v>145</v>
      </c>
      <c r="K10" s="2"/>
      <c r="L10" s="22" t="s">
        <v>165</v>
      </c>
    </row>
    <row r="11" spans="1:14" x14ac:dyDescent="0.2">
      <c r="A11" s="9" t="s">
        <v>142</v>
      </c>
      <c r="B11" s="9"/>
      <c r="C11" s="9" t="str">
        <f>"as of "&amp;TEXT($L$11,"m/d/yy")</f>
        <v>as of 11/30/21</v>
      </c>
      <c r="D11" s="9" t="s">
        <v>167</v>
      </c>
      <c r="E11" s="9" t="s">
        <v>146</v>
      </c>
      <c r="K11" s="2"/>
      <c r="L11" s="83">
        <f>'8.2'!L11</f>
        <v>44530</v>
      </c>
    </row>
    <row r="12" spans="1:14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4" x14ac:dyDescent="0.2">
      <c r="K13" s="2"/>
    </row>
    <row r="14" spans="1:14" x14ac:dyDescent="0.2">
      <c r="A14" t="s">
        <v>150</v>
      </c>
      <c r="C14" s="334">
        <f>ROUND('[3]Hurr Models'!$F30/1000,0)</f>
        <v>1804688</v>
      </c>
      <c r="D14" s="334">
        <f>ROUND('[3]Hurr Models'!$L30,0)</f>
        <v>4548899</v>
      </c>
      <c r="E14" s="39">
        <f>ROUND(D14/C14,3)</f>
        <v>2.5209999999999999</v>
      </c>
      <c r="G14" s="19"/>
      <c r="H14" s="19"/>
      <c r="K14" s="2"/>
      <c r="L14" s="43"/>
    </row>
    <row r="15" spans="1:14" x14ac:dyDescent="0.2">
      <c r="A15" t="s">
        <v>151</v>
      </c>
      <c r="C15" s="334">
        <f>ROUND('[3]Hurr Models'!$F31/1000,0)</f>
        <v>9887460</v>
      </c>
      <c r="D15" s="334">
        <f>ROUND('[3]Hurr Models'!$L31,0)</f>
        <v>17498175</v>
      </c>
      <c r="E15" s="39">
        <f t="shared" ref="E15:E28" si="0">ROUND(D15/C15,3)</f>
        <v>1.77</v>
      </c>
      <c r="G15" s="19"/>
      <c r="H15" s="19"/>
      <c r="K15" s="2"/>
      <c r="L15" s="43"/>
    </row>
    <row r="16" spans="1:14" x14ac:dyDescent="0.2">
      <c r="A16" t="s">
        <v>152</v>
      </c>
      <c r="C16" s="334">
        <f>ROUND('[3]Hurr Models'!$F32/1000,0)</f>
        <v>997241</v>
      </c>
      <c r="D16" s="334">
        <f>ROUND('[3]Hurr Models'!$L32,0)</f>
        <v>3020663</v>
      </c>
      <c r="E16" s="39">
        <f t="shared" si="0"/>
        <v>3.0289999999999999</v>
      </c>
      <c r="G16" s="19"/>
      <c r="H16" s="19"/>
      <c r="K16" s="2"/>
      <c r="L16" s="43"/>
    </row>
    <row r="17" spans="1:14" x14ac:dyDescent="0.2">
      <c r="A17" t="s">
        <v>153</v>
      </c>
      <c r="C17" s="334">
        <f>ROUND('[3]Hurr Models'!$F33/1000,0)</f>
        <v>2014726</v>
      </c>
      <c r="D17" s="334">
        <f>ROUND('[3]Hurr Models'!$L33,0)</f>
        <v>3765874</v>
      </c>
      <c r="E17" s="39">
        <f t="shared" si="0"/>
        <v>1.869</v>
      </c>
      <c r="G17" s="19"/>
      <c r="H17" s="19"/>
      <c r="K17" s="2"/>
      <c r="L17" s="43"/>
    </row>
    <row r="18" spans="1:14" x14ac:dyDescent="0.2">
      <c r="A18" t="s">
        <v>154</v>
      </c>
      <c r="C18" s="334">
        <f>ROUND('[3]Hurr Models'!$F34/1000,0)</f>
        <v>1530357</v>
      </c>
      <c r="D18" s="334">
        <f>ROUND('[3]Hurr Models'!$L34,0)</f>
        <v>2435980</v>
      </c>
      <c r="E18" s="39">
        <f t="shared" si="0"/>
        <v>1.5920000000000001</v>
      </c>
      <c r="G18" s="19"/>
      <c r="H18" s="19"/>
      <c r="K18" s="2"/>
      <c r="L18" s="43"/>
    </row>
    <row r="19" spans="1:14" x14ac:dyDescent="0.2">
      <c r="A19" t="s">
        <v>155</v>
      </c>
      <c r="C19" s="334">
        <f>ROUND('[3]Hurr Models'!$F35/1000,0)</f>
        <v>21261039</v>
      </c>
      <c r="D19" s="334">
        <f>ROUND('[3]Hurr Models'!$L35,0)</f>
        <v>84217490</v>
      </c>
      <c r="E19" s="39">
        <f t="shared" si="0"/>
        <v>3.9609999999999999</v>
      </c>
      <c r="G19" s="19"/>
      <c r="H19" s="19"/>
      <c r="K19" s="2"/>
      <c r="L19" s="43"/>
    </row>
    <row r="20" spans="1:14" x14ac:dyDescent="0.2">
      <c r="A20" t="s">
        <v>156</v>
      </c>
      <c r="C20" s="334">
        <f>ROUND('[3]Hurr Models'!$F36/1000,0)</f>
        <v>1237804</v>
      </c>
      <c r="D20" s="334">
        <f>ROUND('[3]Hurr Models'!$L36,0)</f>
        <v>4825067</v>
      </c>
      <c r="E20" s="39">
        <f t="shared" si="0"/>
        <v>3.8980000000000001</v>
      </c>
      <c r="G20" s="19"/>
      <c r="H20" s="19"/>
      <c r="K20" s="2"/>
      <c r="L20" s="43"/>
    </row>
    <row r="21" spans="1:14" x14ac:dyDescent="0.2">
      <c r="A21" t="s">
        <v>157</v>
      </c>
      <c r="C21" s="334">
        <f>ROUND('[3]Hurr Models'!$F37/1000,0)</f>
        <v>6298584</v>
      </c>
      <c r="D21" s="334">
        <f>ROUND('[3]Hurr Models'!$L37,0)</f>
        <v>12681345</v>
      </c>
      <c r="E21" s="39">
        <f t="shared" si="0"/>
        <v>2.0129999999999999</v>
      </c>
      <c r="G21" s="19"/>
      <c r="H21" s="19"/>
      <c r="K21" s="2"/>
      <c r="L21" s="43"/>
    </row>
    <row r="22" spans="1:14" x14ac:dyDescent="0.2">
      <c r="A22" t="s">
        <v>158</v>
      </c>
      <c r="C22" s="334">
        <f>ROUND('[3]Hurr Models'!$F38/1000,0)</f>
        <v>2663</v>
      </c>
      <c r="D22" s="334">
        <f>ROUND('[3]Hurr Models'!$L38,0)</f>
        <v>3016</v>
      </c>
      <c r="E22" s="39">
        <f t="shared" si="0"/>
        <v>1.133</v>
      </c>
      <c r="G22" s="19"/>
      <c r="H22" s="19"/>
      <c r="K22" s="2"/>
      <c r="L22" s="43"/>
    </row>
    <row r="23" spans="1:14" x14ac:dyDescent="0.2">
      <c r="A23" t="s">
        <v>159</v>
      </c>
      <c r="B23" s="22"/>
      <c r="C23" s="334">
        <f>ROUND('[3]Hurr Models'!$F39/1000,0)</f>
        <v>165520</v>
      </c>
      <c r="D23" s="334">
        <f>ROUND('[3]Hurr Models'!$L39,0)</f>
        <v>153623</v>
      </c>
      <c r="E23" s="39">
        <f t="shared" si="0"/>
        <v>0.92800000000000005</v>
      </c>
      <c r="G23" s="19"/>
      <c r="H23" s="19"/>
      <c r="K23" s="2"/>
      <c r="L23" s="43"/>
    </row>
    <row r="24" spans="1:14" x14ac:dyDescent="0.2">
      <c r="A24" t="s">
        <v>160</v>
      </c>
      <c r="B24" s="22"/>
      <c r="C24" s="334">
        <f>ROUND('[3]Hurr Models'!$F40/1000,0)</f>
        <v>1206001</v>
      </c>
      <c r="D24" s="334">
        <f>ROUND('[3]Hurr Models'!$L40,0)</f>
        <v>2937946</v>
      </c>
      <c r="E24" s="39">
        <f t="shared" si="0"/>
        <v>2.4359999999999999</v>
      </c>
      <c r="G24" s="19"/>
      <c r="H24" s="19"/>
      <c r="K24" s="2"/>
      <c r="L24" s="43"/>
    </row>
    <row r="25" spans="1:14" x14ac:dyDescent="0.2">
      <c r="A25" t="s">
        <v>161</v>
      </c>
      <c r="B25" s="22"/>
      <c r="C25" s="334">
        <f>ROUND('[3]Hurr Models'!$F41/1000,0)</f>
        <v>10451060</v>
      </c>
      <c r="D25" s="334">
        <f>ROUND('[3]Hurr Models'!$L41,0)</f>
        <v>27255590</v>
      </c>
      <c r="E25" s="39">
        <f t="shared" si="0"/>
        <v>2.6080000000000001</v>
      </c>
      <c r="G25" s="19"/>
      <c r="H25" s="19"/>
      <c r="K25" s="2"/>
      <c r="L25" s="43"/>
    </row>
    <row r="26" spans="1:14" x14ac:dyDescent="0.2">
      <c r="A26" t="s">
        <v>162</v>
      </c>
      <c r="C26" s="334">
        <f>ROUND('[3]Hurr Models'!$F42/1000,0)</f>
        <v>78471</v>
      </c>
      <c r="D26" s="334">
        <f>ROUND('[3]Hurr Models'!$L42,0)</f>
        <v>118742</v>
      </c>
      <c r="E26" s="39">
        <f t="shared" si="0"/>
        <v>1.5129999999999999</v>
      </c>
      <c r="G26" s="19"/>
      <c r="H26" s="19"/>
      <c r="K26" s="2"/>
      <c r="L26" s="43"/>
    </row>
    <row r="27" spans="1:14" x14ac:dyDescent="0.2">
      <c r="A27" t="s">
        <v>163</v>
      </c>
      <c r="C27" s="334">
        <f>ROUND('[3]Hurr Models'!$F43/1000,0)</f>
        <v>1670749</v>
      </c>
      <c r="D27" s="334">
        <f>ROUND('[3]Hurr Models'!$L43,0)</f>
        <v>3250485</v>
      </c>
      <c r="E27" s="39">
        <f t="shared" si="0"/>
        <v>1.946</v>
      </c>
      <c r="G27" s="19"/>
      <c r="H27" s="19"/>
      <c r="K27" s="2"/>
      <c r="L27" s="43"/>
    </row>
    <row r="28" spans="1:14" x14ac:dyDescent="0.2">
      <c r="A28" t="s">
        <v>164</v>
      </c>
      <c r="C28" s="334">
        <f>ROUND('[3]Hurr Models'!$F44/1000,0)</f>
        <v>76049</v>
      </c>
      <c r="D28" s="334">
        <f>ROUND('[3]Hurr Models'!$L44,0)</f>
        <v>166050</v>
      </c>
      <c r="E28" s="39">
        <f t="shared" si="0"/>
        <v>2.1829999999999998</v>
      </c>
      <c r="G28" s="19"/>
      <c r="H28" s="19"/>
      <c r="K28" s="2"/>
      <c r="L28" s="43"/>
    </row>
    <row r="29" spans="1:14" x14ac:dyDescent="0.2">
      <c r="A29" s="9"/>
      <c r="B29" s="26"/>
      <c r="C29" s="81"/>
      <c r="D29" s="81"/>
      <c r="E29" s="40"/>
      <c r="F29" s="45"/>
      <c r="G29" s="45"/>
      <c r="H29" s="45"/>
      <c r="I29" s="45"/>
      <c r="J29" s="59"/>
      <c r="K29" s="2"/>
    </row>
    <row r="30" spans="1:14" x14ac:dyDescent="0.2">
      <c r="C30" s="19"/>
      <c r="D30" s="19"/>
      <c r="E30" s="12"/>
      <c r="K30" s="2"/>
    </row>
    <row r="31" spans="1:14" x14ac:dyDescent="0.2">
      <c r="A31" t="s">
        <v>9</v>
      </c>
      <c r="C31" s="31">
        <f>SUM(C14:C28)</f>
        <v>58682412</v>
      </c>
      <c r="D31" s="31">
        <f>SUM(D14:D28)</f>
        <v>166878945</v>
      </c>
      <c r="E31" s="39">
        <f>ROUND(D31/C31,3)</f>
        <v>2.8439999999999999</v>
      </c>
      <c r="K31" s="2"/>
    </row>
    <row r="32" spans="1:14" ht="10.5" thickBot="1" x14ac:dyDescent="0.25">
      <c r="A32" s="6"/>
      <c r="B32" s="6"/>
      <c r="C32" s="6"/>
      <c r="D32" s="6"/>
      <c r="E32" s="6"/>
      <c r="K32" s="2"/>
      <c r="M32" s="19"/>
      <c r="N32" s="19"/>
    </row>
    <row r="33" spans="1:13" ht="10.5" thickTop="1" x14ac:dyDescent="0.2">
      <c r="K33" s="2"/>
      <c r="M33" s="326"/>
    </row>
    <row r="34" spans="1:13" x14ac:dyDescent="0.2">
      <c r="A34" t="s">
        <v>17</v>
      </c>
      <c r="K34" s="2"/>
    </row>
    <row r="35" spans="1:13" x14ac:dyDescent="0.2">
      <c r="B35" s="22" t="str">
        <f>C12&amp;" Provided by TWIA and Geo-coded by AIR"</f>
        <v>(2) Provided by TWIA and Geo-coded by AIR</v>
      </c>
      <c r="K35" s="2"/>
    </row>
    <row r="36" spans="1:13" x14ac:dyDescent="0.2">
      <c r="B36" s="22" t="str">
        <f>D12&amp;" Provided by AIR"</f>
        <v>(3) Provided by AIR</v>
      </c>
      <c r="K36" s="2"/>
    </row>
    <row r="37" spans="1:13" x14ac:dyDescent="0.2">
      <c r="B37" s="22" t="str">
        <f>E12&amp;" = "&amp;D12&amp;" / "&amp;C12</f>
        <v>(4) = (3) / (2)</v>
      </c>
      <c r="K37" s="2"/>
    </row>
    <row r="38" spans="1:13" x14ac:dyDescent="0.2">
      <c r="K38" s="2"/>
    </row>
    <row r="39" spans="1:13" x14ac:dyDescent="0.2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2"/>
    </row>
    <row r="40" spans="1:13" x14ac:dyDescent="0.2">
      <c r="K40" s="2"/>
    </row>
    <row r="41" spans="1:13" s="59" customFormat="1" x14ac:dyDescent="0.2">
      <c r="A41"/>
      <c r="B41"/>
      <c r="C41"/>
      <c r="D41"/>
      <c r="E41"/>
      <c r="F41"/>
      <c r="G41"/>
      <c r="H41"/>
      <c r="I41"/>
      <c r="J41"/>
      <c r="K41" s="2"/>
    </row>
    <row r="42" spans="1:13" s="59" customFormat="1" x14ac:dyDescent="0.2">
      <c r="A42"/>
      <c r="B42"/>
      <c r="C42"/>
      <c r="D42"/>
      <c r="E42" s="45"/>
      <c r="F42"/>
      <c r="G42"/>
      <c r="H42"/>
      <c r="I42"/>
      <c r="J42"/>
      <c r="K42" s="2"/>
    </row>
    <row r="43" spans="1:13" x14ac:dyDescent="0.2">
      <c r="K43" s="2"/>
    </row>
    <row r="44" spans="1:13" x14ac:dyDescent="0.2">
      <c r="K44" s="2"/>
    </row>
    <row r="45" spans="1:13" x14ac:dyDescent="0.2">
      <c r="K45" s="2"/>
    </row>
    <row r="46" spans="1:13" x14ac:dyDescent="0.2">
      <c r="K46" s="2"/>
    </row>
    <row r="47" spans="1:13" x14ac:dyDescent="0.2">
      <c r="K47" s="2"/>
    </row>
    <row r="48" spans="1:13" x14ac:dyDescent="0.2">
      <c r="K48" s="2"/>
    </row>
    <row r="49" spans="1:11" x14ac:dyDescent="0.2">
      <c r="K49" s="2"/>
    </row>
    <row r="50" spans="1:11" s="59" customFormat="1" x14ac:dyDescent="0.2">
      <c r="A50"/>
      <c r="B50"/>
      <c r="C50"/>
      <c r="D50"/>
      <c r="K50" s="2"/>
    </row>
    <row r="51" spans="1:11" s="59" customFormat="1" x14ac:dyDescent="0.2">
      <c r="K51" s="2"/>
    </row>
    <row r="52" spans="1:11" s="59" customFormat="1" x14ac:dyDescent="0.2">
      <c r="A52" s="45"/>
      <c r="B52" s="45"/>
      <c r="C52" s="45"/>
      <c r="D52" s="45"/>
      <c r="E52" s="45"/>
      <c r="F52" s="45"/>
      <c r="G52" s="45"/>
      <c r="H52" s="45"/>
      <c r="I52" s="45"/>
      <c r="K52" s="2"/>
    </row>
    <row r="53" spans="1:11" s="59" customFormat="1" x14ac:dyDescent="0.2">
      <c r="K53" s="2"/>
    </row>
    <row r="54" spans="1:11" s="59" customFormat="1" x14ac:dyDescent="0.2">
      <c r="A54" s="65"/>
      <c r="C54" s="38"/>
      <c r="D54" s="38"/>
      <c r="E54" s="38"/>
      <c r="F54" s="33"/>
      <c r="G54" s="33"/>
      <c r="H54" s="33"/>
      <c r="I54" s="33"/>
      <c r="K54" s="2"/>
    </row>
    <row r="55" spans="1:11" s="59" customFormat="1" x14ac:dyDescent="0.2">
      <c r="A55" s="65"/>
      <c r="C55" s="38"/>
      <c r="D55" s="38"/>
      <c r="E55" s="38"/>
      <c r="F55" s="33"/>
      <c r="G55" s="33"/>
      <c r="H55" s="33"/>
      <c r="I55" s="33"/>
      <c r="K55" s="2"/>
    </row>
    <row r="56" spans="1:11" s="59" customFormat="1" x14ac:dyDescent="0.2">
      <c r="A56" s="65"/>
      <c r="C56" s="38"/>
      <c r="D56" s="38"/>
      <c r="E56" s="38"/>
      <c r="F56" s="33"/>
      <c r="G56" s="33"/>
      <c r="H56" s="33"/>
      <c r="I56" s="33"/>
      <c r="K56" s="2"/>
    </row>
    <row r="57" spans="1:11" s="59" customFormat="1" x14ac:dyDescent="0.2">
      <c r="A57" s="65"/>
      <c r="C57" s="38"/>
      <c r="D57" s="38"/>
      <c r="E57" s="38"/>
      <c r="F57" s="33"/>
      <c r="G57" s="33"/>
      <c r="H57" s="33"/>
      <c r="I57" s="33"/>
      <c r="K57" s="2"/>
    </row>
    <row r="58" spans="1:11" s="59" customFormat="1" x14ac:dyDescent="0.2">
      <c r="A58" s="65"/>
      <c r="C58" s="38"/>
      <c r="D58" s="38"/>
      <c r="E58" s="38"/>
      <c r="F58" s="33"/>
      <c r="G58" s="33"/>
      <c r="H58" s="33"/>
      <c r="I58" s="33"/>
      <c r="K58" s="2"/>
    </row>
    <row r="59" spans="1:11" s="59" customFormat="1" x14ac:dyDescent="0.2">
      <c r="A59" s="65"/>
      <c r="C59" s="38"/>
      <c r="D59" s="38"/>
      <c r="E59" s="38"/>
      <c r="F59" s="33"/>
      <c r="G59" s="33"/>
      <c r="H59" s="33"/>
      <c r="I59" s="33"/>
      <c r="K59" s="2"/>
    </row>
    <row r="60" spans="1:11" s="59" customFormat="1" x14ac:dyDescent="0.2">
      <c r="A60" s="65"/>
      <c r="C60" s="38"/>
      <c r="D60" s="38"/>
      <c r="E60" s="38"/>
      <c r="F60" s="33"/>
      <c r="G60" s="33"/>
      <c r="H60" s="33"/>
      <c r="I60" s="33"/>
      <c r="K60" s="2"/>
    </row>
    <row r="61" spans="1:11" s="59" customFormat="1" x14ac:dyDescent="0.2">
      <c r="A61" s="65"/>
      <c r="C61" s="38"/>
      <c r="D61" s="38"/>
      <c r="E61" s="38"/>
      <c r="F61" s="33"/>
      <c r="G61" s="33"/>
      <c r="H61" s="33"/>
      <c r="I61" s="33"/>
      <c r="K61" s="2"/>
    </row>
    <row r="62" spans="1:11" s="59" customFormat="1" x14ac:dyDescent="0.2">
      <c r="A62" s="65"/>
      <c r="C62" s="29"/>
      <c r="D62" s="29"/>
      <c r="E62" s="29"/>
      <c r="F62" s="29"/>
      <c r="G62" s="29"/>
      <c r="H62" s="29"/>
      <c r="I62" s="29"/>
      <c r="K62" s="2"/>
    </row>
    <row r="63" spans="1:11" x14ac:dyDescent="0.2">
      <c r="B63" s="25"/>
      <c r="C63" s="60"/>
      <c r="D63" s="60"/>
      <c r="E63" s="60"/>
      <c r="F63" s="23"/>
      <c r="K63" s="2"/>
    </row>
    <row r="64" spans="1:11" x14ac:dyDescent="0.2">
      <c r="B64" s="25"/>
      <c r="C64" s="60"/>
      <c r="D64" s="60"/>
      <c r="E64" s="60"/>
      <c r="F64" s="23"/>
      <c r="K64" s="2"/>
    </row>
    <row r="65" spans="1:11" x14ac:dyDescent="0.2">
      <c r="B65" s="25"/>
      <c r="C65" s="60"/>
      <c r="D65" s="60"/>
      <c r="E65" s="60"/>
      <c r="F65" s="23"/>
      <c r="K65" s="2"/>
    </row>
    <row r="66" spans="1:11" x14ac:dyDescent="0.2">
      <c r="B66" s="25"/>
      <c r="C66" s="60"/>
      <c r="D66" s="60"/>
      <c r="E66" s="60"/>
      <c r="F66" s="23"/>
      <c r="K66" s="2"/>
    </row>
    <row r="67" spans="1:11" ht="10.5" thickBot="1" x14ac:dyDescent="0.25">
      <c r="K67" s="2"/>
    </row>
    <row r="68" spans="1:11" ht="10.5" thickBot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3"/>
    </row>
    <row r="70" spans="1:11" x14ac:dyDescent="0.2">
      <c r="B70" t="s">
        <v>326</v>
      </c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39">
    <tabColor rgb="FF92D050"/>
  </sheetPr>
  <dimension ref="A1:O68"/>
  <sheetViews>
    <sheetView showGridLines="0" topLeftCell="A25" workbookViewId="0">
      <selection activeCell="H29" sqref="H29"/>
    </sheetView>
  </sheetViews>
  <sheetFormatPr defaultColWidth="11.33203125" defaultRowHeight="10" x14ac:dyDescent="0.2"/>
  <cols>
    <col min="1" max="1" width="2.44140625" bestFit="1" customWidth="1"/>
    <col min="2" max="2" width="11.33203125" customWidth="1"/>
    <col min="3" max="4" width="15.33203125" customWidth="1"/>
    <col min="5" max="9" width="11.33203125" customWidth="1"/>
    <col min="10" max="10" width="4.6640625" customWidth="1"/>
    <col min="13" max="13" width="12.109375" customWidth="1"/>
    <col min="15" max="15" width="14.33203125" customWidth="1"/>
  </cols>
  <sheetData>
    <row r="1" spans="1:14" ht="10.5" x14ac:dyDescent="0.25">
      <c r="A1" s="8" t="str">
        <f>'1'!$A$1</f>
        <v>Texas Windstorm Insurance Association</v>
      </c>
      <c r="B1" s="12"/>
      <c r="J1" s="7" t="s">
        <v>168</v>
      </c>
      <c r="K1" s="1"/>
      <c r="M1" t="s">
        <v>428</v>
      </c>
      <c r="N1" t="s">
        <v>442</v>
      </c>
    </row>
    <row r="2" spans="1:14" ht="10.5" x14ac:dyDescent="0.25">
      <c r="A2" s="8" t="str">
        <f>'1'!$A$2</f>
        <v>Residential Property - Wind &amp; Hail</v>
      </c>
      <c r="B2" s="12"/>
      <c r="J2" s="7" t="s">
        <v>85</v>
      </c>
      <c r="K2" s="2"/>
    </row>
    <row r="3" spans="1:14" ht="10.5" x14ac:dyDescent="0.25">
      <c r="A3" s="8" t="str">
        <f>'1'!$A$3</f>
        <v>Rate Level Review</v>
      </c>
      <c r="B3" s="12"/>
      <c r="K3" s="2"/>
    </row>
    <row r="4" spans="1:14" x14ac:dyDescent="0.2">
      <c r="A4" t="s">
        <v>173</v>
      </c>
      <c r="B4" s="12"/>
      <c r="K4" s="2"/>
    </row>
    <row r="5" spans="1:14" x14ac:dyDescent="0.2">
      <c r="B5" s="12"/>
      <c r="K5" s="2"/>
    </row>
    <row r="6" spans="1:14" x14ac:dyDescent="0.2">
      <c r="K6" s="2"/>
    </row>
    <row r="7" spans="1:14" ht="10.5" thickBot="1" x14ac:dyDescent="0.25">
      <c r="A7" s="6"/>
      <c r="B7" s="6"/>
      <c r="C7" s="6"/>
      <c r="D7" s="6"/>
      <c r="E7" s="6"/>
      <c r="K7" s="2"/>
    </row>
    <row r="8" spans="1:14" ht="10.5" thickTop="1" x14ac:dyDescent="0.2">
      <c r="K8" s="2"/>
    </row>
    <row r="9" spans="1:14" x14ac:dyDescent="0.2">
      <c r="C9" s="52" t="s">
        <v>143</v>
      </c>
      <c r="D9" t="s">
        <v>71</v>
      </c>
      <c r="K9" s="2"/>
      <c r="L9" s="27"/>
    </row>
    <row r="10" spans="1:14" x14ac:dyDescent="0.2">
      <c r="C10" t="s">
        <v>144</v>
      </c>
      <c r="D10" t="s">
        <v>166</v>
      </c>
      <c r="E10" t="s">
        <v>145</v>
      </c>
      <c r="K10" s="2"/>
      <c r="L10" s="22" t="s">
        <v>165</v>
      </c>
    </row>
    <row r="11" spans="1:14" x14ac:dyDescent="0.2">
      <c r="A11" s="9" t="s">
        <v>142</v>
      </c>
      <c r="B11" s="9"/>
      <c r="C11" s="9" t="str">
        <f>"as of "&amp;TEXT($L$11,"m/d/yy")</f>
        <v>as of 11/30/21</v>
      </c>
      <c r="D11" s="9" t="s">
        <v>167</v>
      </c>
      <c r="E11" s="9" t="s">
        <v>146</v>
      </c>
      <c r="K11" s="2"/>
      <c r="L11" s="83">
        <f>'[3]Hurr Models'!$C$1</f>
        <v>44530</v>
      </c>
    </row>
    <row r="12" spans="1:14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4" x14ac:dyDescent="0.2">
      <c r="K13" s="2"/>
    </row>
    <row r="14" spans="1:14" x14ac:dyDescent="0.2">
      <c r="A14" t="s">
        <v>150</v>
      </c>
      <c r="C14" s="334">
        <f>ROUND('[3]Hurr Models'!$F5/1000,0)</f>
        <v>1804688</v>
      </c>
      <c r="D14" s="334">
        <f>ROUND('[3]Hurr Models'!$L5,0)</f>
        <v>3876812</v>
      </c>
      <c r="E14" s="39">
        <f t="shared" ref="E14:E28" si="0">ROUND(D14/C14,3)</f>
        <v>2.1480000000000001</v>
      </c>
      <c r="K14" s="2"/>
      <c r="L14" s="43"/>
    </row>
    <row r="15" spans="1:14" x14ac:dyDescent="0.2">
      <c r="A15" t="s">
        <v>151</v>
      </c>
      <c r="C15" s="334">
        <f>ROUND('[3]Hurr Models'!$F6/1000,0)</f>
        <v>9887460</v>
      </c>
      <c r="D15" s="334">
        <f>ROUND('[3]Hurr Models'!$L6,0)</f>
        <v>17070756</v>
      </c>
      <c r="E15" s="39">
        <f t="shared" si="0"/>
        <v>1.7270000000000001</v>
      </c>
      <c r="K15" s="2"/>
      <c r="L15" s="43"/>
    </row>
    <row r="16" spans="1:14" x14ac:dyDescent="0.2">
      <c r="A16" t="s">
        <v>152</v>
      </c>
      <c r="C16" s="334">
        <f>ROUND('[3]Hurr Models'!$F7/1000,0)</f>
        <v>997241</v>
      </c>
      <c r="D16" s="334">
        <f>ROUND('[3]Hurr Models'!$L7,0)</f>
        <v>3387962</v>
      </c>
      <c r="E16" s="39">
        <f t="shared" si="0"/>
        <v>3.3969999999999998</v>
      </c>
      <c r="K16" s="2"/>
      <c r="L16" s="43"/>
    </row>
    <row r="17" spans="1:15" x14ac:dyDescent="0.2">
      <c r="A17" t="s">
        <v>153</v>
      </c>
      <c r="C17" s="334">
        <f>ROUND('[3]Hurr Models'!$F8/1000,0)</f>
        <v>2014726</v>
      </c>
      <c r="D17" s="334">
        <f>ROUND('[3]Hurr Models'!$L8,0)</f>
        <v>4499729</v>
      </c>
      <c r="E17" s="39">
        <f t="shared" si="0"/>
        <v>2.2330000000000001</v>
      </c>
      <c r="K17" s="2"/>
      <c r="L17" s="43"/>
    </row>
    <row r="18" spans="1:15" x14ac:dyDescent="0.2">
      <c r="A18" t="s">
        <v>154</v>
      </c>
      <c r="C18" s="334">
        <f>ROUND('[3]Hurr Models'!$F9/1000,0)</f>
        <v>1530357</v>
      </c>
      <c r="D18" s="334">
        <f>ROUND('[3]Hurr Models'!$L9,0)</f>
        <v>2323305</v>
      </c>
      <c r="E18" s="39">
        <f t="shared" si="0"/>
        <v>1.518</v>
      </c>
      <c r="K18" s="2"/>
      <c r="L18" s="43"/>
    </row>
    <row r="19" spans="1:15" x14ac:dyDescent="0.2">
      <c r="A19" t="s">
        <v>155</v>
      </c>
      <c r="C19" s="334">
        <f>ROUND('[3]Hurr Models'!$F10/1000,0)</f>
        <v>21261039</v>
      </c>
      <c r="D19" s="334">
        <f>ROUND('[3]Hurr Models'!$L10,0)</f>
        <v>63906221</v>
      </c>
      <c r="E19" s="39">
        <f t="shared" si="0"/>
        <v>3.0059999999999998</v>
      </c>
      <c r="K19" s="2"/>
      <c r="L19" s="43"/>
    </row>
    <row r="20" spans="1:15" x14ac:dyDescent="0.2">
      <c r="A20" t="s">
        <v>156</v>
      </c>
      <c r="C20" s="334">
        <f>ROUND('[3]Hurr Models'!$F11/1000,0)</f>
        <v>1237804</v>
      </c>
      <c r="D20" s="334">
        <f>ROUND('[3]Hurr Models'!$L11,0)</f>
        <v>3471033</v>
      </c>
      <c r="E20" s="39">
        <f t="shared" si="0"/>
        <v>2.8039999999999998</v>
      </c>
      <c r="K20" s="2"/>
      <c r="L20" s="43"/>
    </row>
    <row r="21" spans="1:15" x14ac:dyDescent="0.2">
      <c r="A21" t="s">
        <v>157</v>
      </c>
      <c r="C21" s="334">
        <f>ROUND('[3]Hurr Models'!$F12/1000,0)</f>
        <v>6298584</v>
      </c>
      <c r="D21" s="334">
        <f>ROUND('[3]Hurr Models'!$L12,0)</f>
        <v>11365592</v>
      </c>
      <c r="E21" s="39">
        <f t="shared" si="0"/>
        <v>1.804</v>
      </c>
      <c r="K21" s="2"/>
      <c r="L21" s="43"/>
    </row>
    <row r="22" spans="1:15" x14ac:dyDescent="0.2">
      <c r="A22" t="s">
        <v>158</v>
      </c>
      <c r="C22" s="334">
        <f>ROUND('[3]Hurr Models'!$F13/1000,0)</f>
        <v>2663</v>
      </c>
      <c r="D22" s="334">
        <f>ROUND('[3]Hurr Models'!$L13,0)</f>
        <v>5383</v>
      </c>
      <c r="E22" s="39">
        <f t="shared" si="0"/>
        <v>2.0209999999999999</v>
      </c>
      <c r="K22" s="2"/>
      <c r="L22" s="43"/>
    </row>
    <row r="23" spans="1:15" x14ac:dyDescent="0.2">
      <c r="A23" t="s">
        <v>159</v>
      </c>
      <c r="B23" s="22"/>
      <c r="C23" s="334">
        <f>ROUND('[3]Hurr Models'!$F14/1000,0)</f>
        <v>165520</v>
      </c>
      <c r="D23" s="334">
        <f>ROUND('[3]Hurr Models'!$L14,0)</f>
        <v>245177</v>
      </c>
      <c r="E23" s="39">
        <f t="shared" si="0"/>
        <v>1.4810000000000001</v>
      </c>
      <c r="K23" s="2"/>
      <c r="L23" s="43"/>
    </row>
    <row r="24" spans="1:15" x14ac:dyDescent="0.2">
      <c r="A24" t="s">
        <v>160</v>
      </c>
      <c r="B24" s="22"/>
      <c r="C24" s="334">
        <f>ROUND('[3]Hurr Models'!$F15/1000,0)</f>
        <v>1206001</v>
      </c>
      <c r="D24" s="334">
        <f>ROUND('[3]Hurr Models'!$L15,0)</f>
        <v>3340120</v>
      </c>
      <c r="E24" s="39">
        <f t="shared" si="0"/>
        <v>2.77</v>
      </c>
      <c r="K24" s="2"/>
      <c r="L24" s="43"/>
    </row>
    <row r="25" spans="1:15" x14ac:dyDescent="0.2">
      <c r="A25" t="s">
        <v>161</v>
      </c>
      <c r="B25" s="22"/>
      <c r="C25" s="334">
        <f>ROUND('[3]Hurr Models'!$F16/1000,0)</f>
        <v>10451060</v>
      </c>
      <c r="D25" s="334">
        <f>ROUND('[3]Hurr Models'!$L16,0)</f>
        <v>21978028</v>
      </c>
      <c r="E25" s="39">
        <f t="shared" si="0"/>
        <v>2.1030000000000002</v>
      </c>
      <c r="K25" s="2"/>
      <c r="L25" s="43"/>
    </row>
    <row r="26" spans="1:15" x14ac:dyDescent="0.2">
      <c r="A26" t="s">
        <v>162</v>
      </c>
      <c r="C26" s="334">
        <f>ROUND('[3]Hurr Models'!$F17/1000,0)</f>
        <v>78471</v>
      </c>
      <c r="D26" s="334">
        <f>ROUND('[3]Hurr Models'!$L17,0)</f>
        <v>159263</v>
      </c>
      <c r="E26" s="39">
        <f t="shared" si="0"/>
        <v>2.0299999999999998</v>
      </c>
      <c r="K26" s="2"/>
      <c r="L26" s="43"/>
    </row>
    <row r="27" spans="1:15" x14ac:dyDescent="0.2">
      <c r="A27" t="s">
        <v>163</v>
      </c>
      <c r="C27" s="334">
        <f>ROUND('[3]Hurr Models'!$F18/1000,0)</f>
        <v>1670749</v>
      </c>
      <c r="D27" s="334">
        <f>ROUND('[3]Hurr Models'!$L18,0)</f>
        <v>3277660</v>
      </c>
      <c r="E27" s="39">
        <f t="shared" si="0"/>
        <v>1.962</v>
      </c>
      <c r="K27" s="2"/>
      <c r="L27" s="43"/>
    </row>
    <row r="28" spans="1:15" x14ac:dyDescent="0.2">
      <c r="A28" t="s">
        <v>164</v>
      </c>
      <c r="C28" s="334">
        <f>ROUND('[3]Hurr Models'!$F19/1000,0)</f>
        <v>76049</v>
      </c>
      <c r="D28" s="334">
        <f>ROUND('[3]Hurr Models'!$L19,0)</f>
        <v>210725</v>
      </c>
      <c r="E28" s="39">
        <f t="shared" si="0"/>
        <v>2.7709999999999999</v>
      </c>
      <c r="K28" s="2"/>
      <c r="L28" s="43"/>
    </row>
    <row r="29" spans="1:15" x14ac:dyDescent="0.2">
      <c r="A29" s="9"/>
      <c r="B29" s="26"/>
      <c r="C29" s="81"/>
      <c r="D29" s="81"/>
      <c r="E29" s="40"/>
      <c r="F29" s="45"/>
      <c r="G29" s="45"/>
      <c r="H29" s="45"/>
      <c r="I29" s="45"/>
      <c r="J29" s="59"/>
      <c r="K29" s="2"/>
    </row>
    <row r="30" spans="1:15" x14ac:dyDescent="0.2">
      <c r="C30" s="19"/>
      <c r="D30" s="19"/>
      <c r="E30" s="12"/>
      <c r="K30" s="2"/>
      <c r="M30" s="19"/>
      <c r="N30" s="19"/>
    </row>
    <row r="31" spans="1:15" x14ac:dyDescent="0.2">
      <c r="A31" t="s">
        <v>9</v>
      </c>
      <c r="C31" s="31">
        <f>SUM(C14:C28)</f>
        <v>58682412</v>
      </c>
      <c r="D31" s="31">
        <f>SUM(D14:D28)</f>
        <v>139117766</v>
      </c>
      <c r="E31" s="39">
        <f>ROUND(D31/C31,3)</f>
        <v>2.371</v>
      </c>
      <c r="K31" s="2"/>
      <c r="L31" s="50"/>
      <c r="M31" s="58"/>
      <c r="N31" s="58"/>
      <c r="O31" s="50"/>
    </row>
    <row r="32" spans="1:15" ht="10.5" thickBot="1" x14ac:dyDescent="0.25">
      <c r="A32" s="6"/>
      <c r="B32" s="6"/>
      <c r="C32" s="6"/>
      <c r="D32" s="6"/>
      <c r="E32" s="6"/>
      <c r="K32" s="2"/>
      <c r="L32" s="50"/>
      <c r="M32" s="50"/>
      <c r="N32" s="50"/>
      <c r="O32" s="50"/>
    </row>
    <row r="33" spans="1:15" ht="10.5" thickTop="1" x14ac:dyDescent="0.2">
      <c r="K33" s="2"/>
      <c r="L33" s="50"/>
      <c r="M33" s="50"/>
      <c r="N33" s="50"/>
      <c r="O33" s="50"/>
    </row>
    <row r="34" spans="1:15" x14ac:dyDescent="0.2">
      <c r="A34" t="s">
        <v>17</v>
      </c>
      <c r="K34" s="2"/>
      <c r="L34" s="50"/>
      <c r="M34" s="327"/>
      <c r="N34" s="328"/>
      <c r="O34" s="328"/>
    </row>
    <row r="35" spans="1:15" x14ac:dyDescent="0.2">
      <c r="B35" s="22" t="str">
        <f>C12&amp;" Provided by TWIA and Geo-coded by RMS"</f>
        <v>(2) Provided by TWIA and Geo-coded by RMS</v>
      </c>
      <c r="K35" s="2"/>
      <c r="L35" s="50"/>
      <c r="M35" s="50"/>
      <c r="N35" s="50"/>
      <c r="O35" s="50"/>
    </row>
    <row r="36" spans="1:15" x14ac:dyDescent="0.2">
      <c r="B36" s="22" t="str">
        <f>D12&amp;" Provided by RMS"</f>
        <v>(3) Provided by RMS</v>
      </c>
      <c r="K36" s="2"/>
      <c r="L36" s="50"/>
      <c r="M36" s="50"/>
      <c r="N36" s="50"/>
      <c r="O36" s="50"/>
    </row>
    <row r="37" spans="1:15" x14ac:dyDescent="0.2">
      <c r="B37" s="22" t="str">
        <f>E12&amp;" = "&amp;D12&amp;" / "&amp;C12</f>
        <v>(4) = (3) / (2)</v>
      </c>
      <c r="K37" s="2"/>
    </row>
    <row r="38" spans="1:15" x14ac:dyDescent="0.2">
      <c r="K38" s="2"/>
    </row>
    <row r="39" spans="1:15" x14ac:dyDescent="0.2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2"/>
    </row>
    <row r="40" spans="1:15" x14ac:dyDescent="0.2">
      <c r="K40" s="2"/>
    </row>
    <row r="41" spans="1:15" s="59" customFormat="1" x14ac:dyDescent="0.2">
      <c r="A41"/>
      <c r="B41"/>
      <c r="C41"/>
      <c r="D41"/>
      <c r="E41"/>
      <c r="F41"/>
      <c r="G41"/>
      <c r="H41"/>
      <c r="I41"/>
      <c r="J41"/>
      <c r="K41" s="2"/>
    </row>
    <row r="42" spans="1:15" s="59" customFormat="1" x14ac:dyDescent="0.2">
      <c r="A42"/>
      <c r="B42"/>
      <c r="C42"/>
      <c r="D42"/>
      <c r="E42" s="45"/>
      <c r="F42"/>
      <c r="G42"/>
      <c r="H42"/>
      <c r="I42"/>
      <c r="J42"/>
      <c r="K42" s="2"/>
    </row>
    <row r="43" spans="1:15" x14ac:dyDescent="0.2">
      <c r="K43" s="2"/>
    </row>
    <row r="44" spans="1:15" x14ac:dyDescent="0.2">
      <c r="K44" s="2"/>
    </row>
    <row r="45" spans="1:15" x14ac:dyDescent="0.2">
      <c r="K45" s="2"/>
    </row>
    <row r="46" spans="1:15" x14ac:dyDescent="0.2">
      <c r="K46" s="2"/>
    </row>
    <row r="47" spans="1:15" x14ac:dyDescent="0.2">
      <c r="K47" s="2"/>
    </row>
    <row r="48" spans="1:15" x14ac:dyDescent="0.2">
      <c r="K48" s="2"/>
    </row>
    <row r="49" spans="1:11" x14ac:dyDescent="0.2">
      <c r="K49" s="2"/>
    </row>
    <row r="50" spans="1:11" s="59" customFormat="1" x14ac:dyDescent="0.2">
      <c r="A50"/>
      <c r="B50"/>
      <c r="C50"/>
      <c r="D50"/>
      <c r="K50" s="2"/>
    </row>
    <row r="51" spans="1:11" s="59" customFormat="1" x14ac:dyDescent="0.2">
      <c r="K51" s="2"/>
    </row>
    <row r="52" spans="1:11" s="59" customFormat="1" x14ac:dyDescent="0.2">
      <c r="A52" s="45"/>
      <c r="B52" s="45"/>
      <c r="C52" s="45"/>
      <c r="D52" s="45"/>
      <c r="E52" s="45"/>
      <c r="F52" s="45"/>
      <c r="G52" s="45"/>
      <c r="H52" s="45"/>
      <c r="I52" s="45"/>
      <c r="K52" s="2"/>
    </row>
    <row r="53" spans="1:11" s="59" customFormat="1" x14ac:dyDescent="0.2">
      <c r="K53" s="2"/>
    </row>
    <row r="54" spans="1:11" s="59" customFormat="1" x14ac:dyDescent="0.2">
      <c r="A54" s="65"/>
      <c r="C54" s="38"/>
      <c r="D54" s="38"/>
      <c r="E54" s="38"/>
      <c r="F54" s="33"/>
      <c r="G54" s="33"/>
      <c r="H54" s="33"/>
      <c r="I54" s="33"/>
      <c r="K54" s="2"/>
    </row>
    <row r="55" spans="1:11" s="59" customFormat="1" x14ac:dyDescent="0.2">
      <c r="A55" s="65"/>
      <c r="C55" s="29"/>
      <c r="D55" s="29"/>
      <c r="E55" s="29"/>
      <c r="F55" s="29"/>
      <c r="G55" s="29"/>
      <c r="H55" s="29"/>
      <c r="I55" s="29"/>
      <c r="K55" s="2"/>
    </row>
    <row r="56" spans="1:11" s="59" customFormat="1" x14ac:dyDescent="0.2">
      <c r="A56" s="65"/>
      <c r="C56" s="29"/>
      <c r="D56" s="29"/>
      <c r="E56" s="29"/>
      <c r="F56" s="29"/>
      <c r="G56" s="29"/>
      <c r="H56" s="29"/>
      <c r="I56" s="29"/>
      <c r="K56" s="2"/>
    </row>
    <row r="57" spans="1:11" s="59" customFormat="1" x14ac:dyDescent="0.2">
      <c r="A57" s="65"/>
      <c r="C57" s="29"/>
      <c r="D57" s="29"/>
      <c r="E57" s="29"/>
      <c r="F57" s="29"/>
      <c r="G57" s="29"/>
      <c r="H57" s="29"/>
      <c r="I57" s="29"/>
      <c r="K57" s="2"/>
    </row>
    <row r="58" spans="1:11" s="59" customFormat="1" x14ac:dyDescent="0.2">
      <c r="A58" s="65"/>
      <c r="C58" s="29"/>
      <c r="D58" s="29"/>
      <c r="E58" s="29"/>
      <c r="F58" s="29"/>
      <c r="G58" s="29"/>
      <c r="H58" s="29"/>
      <c r="I58" s="29"/>
      <c r="K58" s="2"/>
    </row>
    <row r="59" spans="1:11" s="59" customFormat="1" x14ac:dyDescent="0.2">
      <c r="A59" s="65"/>
      <c r="C59" s="29"/>
      <c r="D59" s="29"/>
      <c r="E59" s="29"/>
      <c r="F59" s="29"/>
      <c r="G59" s="29"/>
      <c r="H59" s="29"/>
      <c r="I59" s="29"/>
      <c r="K59" s="2"/>
    </row>
    <row r="60" spans="1:11" s="59" customFormat="1" x14ac:dyDescent="0.2">
      <c r="A60" s="65"/>
      <c r="C60" s="29"/>
      <c r="D60" s="29"/>
      <c r="E60" s="29"/>
      <c r="F60" s="29"/>
      <c r="G60" s="29"/>
      <c r="H60" s="29"/>
      <c r="I60" s="29"/>
      <c r="K60" s="2"/>
    </row>
    <row r="61" spans="1:11" s="59" customFormat="1" x14ac:dyDescent="0.2">
      <c r="A61" s="65"/>
      <c r="C61" s="29"/>
      <c r="D61" s="29"/>
      <c r="E61" s="29"/>
      <c r="F61" s="29"/>
      <c r="G61" s="29"/>
      <c r="H61" s="29"/>
      <c r="I61" s="29"/>
      <c r="K61" s="2"/>
    </row>
    <row r="62" spans="1:11" x14ac:dyDescent="0.2">
      <c r="B62" s="25"/>
      <c r="C62" s="60"/>
      <c r="D62" s="60"/>
      <c r="E62" s="60"/>
      <c r="F62" s="23"/>
      <c r="G62" s="23"/>
      <c r="H62" s="23"/>
      <c r="K62" s="2"/>
    </row>
    <row r="63" spans="1:11" x14ac:dyDescent="0.2">
      <c r="B63" s="25"/>
      <c r="C63" s="60"/>
      <c r="D63" s="60"/>
      <c r="E63" s="60"/>
      <c r="F63" s="23"/>
      <c r="G63" s="23"/>
      <c r="H63" s="23"/>
      <c r="K63" s="2"/>
    </row>
    <row r="64" spans="1:11" x14ac:dyDescent="0.2">
      <c r="B64" s="25"/>
      <c r="C64" s="60"/>
      <c r="D64" s="60"/>
      <c r="E64" s="60"/>
      <c r="F64" s="23"/>
      <c r="G64" s="23"/>
      <c r="H64" s="23"/>
      <c r="K64" s="2"/>
    </row>
    <row r="65" spans="1:11" x14ac:dyDescent="0.2">
      <c r="B65" s="25"/>
      <c r="C65" s="60"/>
      <c r="D65" s="60"/>
      <c r="E65" s="60"/>
      <c r="F65" s="23"/>
      <c r="G65" s="23"/>
      <c r="H65" s="23"/>
      <c r="K65" s="2"/>
    </row>
    <row r="66" spans="1:11" x14ac:dyDescent="0.2">
      <c r="K66" s="2"/>
    </row>
    <row r="67" spans="1:11" ht="10.5" thickBot="1" x14ac:dyDescent="0.25">
      <c r="K67" s="2"/>
    </row>
    <row r="68" spans="1:11" ht="10.5" thickBot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0F4C3-5CC0-4655-AB52-CEF692D88EDE}">
  <sheetPr>
    <tabColor rgb="FF92D050"/>
  </sheetPr>
  <dimension ref="A1:O68"/>
  <sheetViews>
    <sheetView showGridLines="0" topLeftCell="A22" workbookViewId="0">
      <selection activeCell="H41" sqref="H41"/>
    </sheetView>
  </sheetViews>
  <sheetFormatPr defaultColWidth="11.33203125" defaultRowHeight="10" x14ac:dyDescent="0.2"/>
  <cols>
    <col min="1" max="1" width="2.44140625" bestFit="1" customWidth="1"/>
    <col min="2" max="2" width="11.33203125" customWidth="1"/>
    <col min="3" max="4" width="15.33203125" customWidth="1"/>
    <col min="5" max="9" width="11.33203125" customWidth="1"/>
    <col min="10" max="10" width="4.6640625" customWidth="1"/>
    <col min="13" max="13" width="12.109375" customWidth="1"/>
    <col min="15" max="15" width="14.33203125" customWidth="1"/>
  </cols>
  <sheetData>
    <row r="1" spans="1:14" ht="10.5" x14ac:dyDescent="0.25">
      <c r="A1" s="8" t="str">
        <f>'1'!$A$1</f>
        <v>Texas Windstorm Insurance Association</v>
      </c>
      <c r="B1" s="12"/>
      <c r="J1" s="7" t="s">
        <v>168</v>
      </c>
      <c r="K1" s="1"/>
      <c r="M1" t="s">
        <v>428</v>
      </c>
      <c r="N1" t="s">
        <v>442</v>
      </c>
    </row>
    <row r="2" spans="1:14" ht="10.5" x14ac:dyDescent="0.25">
      <c r="A2" s="8" t="str">
        <f>'1'!$A$2</f>
        <v>Residential Property - Wind &amp; Hail</v>
      </c>
      <c r="B2" s="12"/>
      <c r="J2" s="7" t="s">
        <v>88</v>
      </c>
      <c r="K2" s="2"/>
    </row>
    <row r="3" spans="1:14" ht="10.5" x14ac:dyDescent="0.25">
      <c r="A3" s="8" t="str">
        <f>'1'!$A$3</f>
        <v>Rate Level Review</v>
      </c>
      <c r="B3" s="12"/>
      <c r="K3" s="2"/>
    </row>
    <row r="4" spans="1:14" x14ac:dyDescent="0.2">
      <c r="A4" t="s">
        <v>491</v>
      </c>
      <c r="B4" s="12"/>
      <c r="K4" s="2"/>
    </row>
    <row r="5" spans="1:14" x14ac:dyDescent="0.2">
      <c r="B5" s="12"/>
      <c r="K5" s="2"/>
    </row>
    <row r="6" spans="1:14" x14ac:dyDescent="0.2">
      <c r="K6" s="2"/>
    </row>
    <row r="7" spans="1:14" ht="10.5" thickBot="1" x14ac:dyDescent="0.25">
      <c r="A7" s="6"/>
      <c r="B7" s="6"/>
      <c r="C7" s="6"/>
      <c r="D7" s="6"/>
      <c r="E7" s="6"/>
      <c r="K7" s="2"/>
    </row>
    <row r="8" spans="1:14" ht="10.5" thickTop="1" x14ac:dyDescent="0.2">
      <c r="K8" s="2"/>
    </row>
    <row r="9" spans="1:14" x14ac:dyDescent="0.2">
      <c r="C9" s="52" t="s">
        <v>143</v>
      </c>
      <c r="D9" t="s">
        <v>71</v>
      </c>
      <c r="K9" s="2"/>
      <c r="L9" s="27"/>
    </row>
    <row r="10" spans="1:14" x14ac:dyDescent="0.2">
      <c r="C10" t="s">
        <v>144</v>
      </c>
      <c r="D10" t="s">
        <v>166</v>
      </c>
      <c r="E10" t="s">
        <v>145</v>
      </c>
      <c r="K10" s="2"/>
      <c r="L10" s="22" t="s">
        <v>165</v>
      </c>
    </row>
    <row r="11" spans="1:14" x14ac:dyDescent="0.2">
      <c r="A11" s="9" t="s">
        <v>142</v>
      </c>
      <c r="B11" s="9"/>
      <c r="C11" s="9" t="str">
        <f>"as of "&amp;TEXT($L$11,"m/d/yy")</f>
        <v>as of 11/30/21</v>
      </c>
      <c r="D11" s="9" t="s">
        <v>167</v>
      </c>
      <c r="E11" s="9" t="s">
        <v>146</v>
      </c>
      <c r="K11" s="2"/>
      <c r="L11" s="83">
        <f>'[3]Hurr Models'!$C$1</f>
        <v>44530</v>
      </c>
    </row>
    <row r="12" spans="1:14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4" x14ac:dyDescent="0.2">
      <c r="K13" s="2"/>
    </row>
    <row r="14" spans="1:14" x14ac:dyDescent="0.2">
      <c r="A14" t="s">
        <v>150</v>
      </c>
      <c r="C14" s="334">
        <f>ROUND('[3]Hurr Models'!$F52/1000,0)</f>
        <v>1804688</v>
      </c>
      <c r="D14" s="334">
        <f>ROUND('[3]Hurr Models'!$L52,0)</f>
        <v>4524708</v>
      </c>
      <c r="E14" s="39">
        <f t="shared" ref="E14:E28" si="0">ROUND(D14/C14,3)</f>
        <v>2.5070000000000001</v>
      </c>
      <c r="K14" s="2"/>
      <c r="L14" s="43"/>
    </row>
    <row r="15" spans="1:14" x14ac:dyDescent="0.2">
      <c r="A15" t="s">
        <v>151</v>
      </c>
      <c r="C15" s="334">
        <f>ROUND('[3]Hurr Models'!$F53/1000,0)</f>
        <v>9887460</v>
      </c>
      <c r="D15" s="334">
        <f>ROUND('[3]Hurr Models'!$L53,0)</f>
        <v>29078956</v>
      </c>
      <c r="E15" s="39">
        <f t="shared" si="0"/>
        <v>2.9409999999999998</v>
      </c>
      <c r="K15" s="2"/>
      <c r="L15" s="43"/>
    </row>
    <row r="16" spans="1:14" x14ac:dyDescent="0.2">
      <c r="A16" t="s">
        <v>152</v>
      </c>
      <c r="C16" s="334">
        <f>ROUND('[3]Hurr Models'!$F54/1000,0)</f>
        <v>997241</v>
      </c>
      <c r="D16" s="334">
        <f>ROUND('[3]Hurr Models'!$L54,0)</f>
        <v>3988657</v>
      </c>
      <c r="E16" s="39">
        <f t="shared" si="0"/>
        <v>4</v>
      </c>
      <c r="K16" s="2"/>
      <c r="L16" s="43"/>
    </row>
    <row r="17" spans="1:15" x14ac:dyDescent="0.2">
      <c r="A17" t="s">
        <v>153</v>
      </c>
      <c r="C17" s="334">
        <f>ROUND('[3]Hurr Models'!$F55/1000,0)</f>
        <v>2014726</v>
      </c>
      <c r="D17" s="334">
        <f>ROUND('[3]Hurr Models'!$L55,0)</f>
        <v>7265829</v>
      </c>
      <c r="E17" s="39">
        <f t="shared" si="0"/>
        <v>3.6059999999999999</v>
      </c>
      <c r="K17" s="2"/>
      <c r="L17" s="43"/>
    </row>
    <row r="18" spans="1:15" x14ac:dyDescent="0.2">
      <c r="A18" t="s">
        <v>154</v>
      </c>
      <c r="C18" s="334">
        <f>ROUND('[3]Hurr Models'!$F56/1000,0)</f>
        <v>1530357</v>
      </c>
      <c r="D18" s="334">
        <f>ROUND('[3]Hurr Models'!$L56,0)</f>
        <v>3764721</v>
      </c>
      <c r="E18" s="39">
        <f t="shared" si="0"/>
        <v>2.46</v>
      </c>
      <c r="K18" s="2"/>
      <c r="L18" s="43"/>
    </row>
    <row r="19" spans="1:15" x14ac:dyDescent="0.2">
      <c r="A19" t="s">
        <v>155</v>
      </c>
      <c r="C19" s="334">
        <f>ROUND('[3]Hurr Models'!$F57/1000,0)</f>
        <v>21261039</v>
      </c>
      <c r="D19" s="334">
        <f>ROUND('[3]Hurr Models'!$L57,0)</f>
        <v>64508914</v>
      </c>
      <c r="E19" s="39">
        <f t="shared" si="0"/>
        <v>3.0339999999999998</v>
      </c>
      <c r="K19" s="2"/>
      <c r="L19" s="43"/>
    </row>
    <row r="20" spans="1:15" x14ac:dyDescent="0.2">
      <c r="A20" t="s">
        <v>156</v>
      </c>
      <c r="C20" s="334">
        <f>ROUND('[3]Hurr Models'!$F58/1000,0)</f>
        <v>1237804</v>
      </c>
      <c r="D20" s="334">
        <f>ROUND('[3]Hurr Models'!$L58,0)</f>
        <v>3012546</v>
      </c>
      <c r="E20" s="39">
        <f t="shared" si="0"/>
        <v>2.4340000000000002</v>
      </c>
      <c r="K20" s="2"/>
      <c r="L20" s="43"/>
    </row>
    <row r="21" spans="1:15" x14ac:dyDescent="0.2">
      <c r="A21" t="s">
        <v>157</v>
      </c>
      <c r="C21" s="334">
        <f>ROUND('[3]Hurr Models'!$F59/1000,0)</f>
        <v>6298584</v>
      </c>
      <c r="D21" s="334">
        <f>ROUND('[3]Hurr Models'!$L59,0)</f>
        <v>13787096</v>
      </c>
      <c r="E21" s="39">
        <f t="shared" si="0"/>
        <v>2.1890000000000001</v>
      </c>
      <c r="K21" s="2"/>
      <c r="L21" s="43"/>
    </row>
    <row r="22" spans="1:15" x14ac:dyDescent="0.2">
      <c r="A22" t="s">
        <v>158</v>
      </c>
      <c r="C22" s="334">
        <f>ROUND('[3]Hurr Models'!$F60/1000,0)</f>
        <v>2663</v>
      </c>
      <c r="D22" s="334">
        <f>ROUND('[3]Hurr Models'!$L60,0)</f>
        <v>8494</v>
      </c>
      <c r="E22" s="39">
        <f t="shared" si="0"/>
        <v>3.19</v>
      </c>
      <c r="K22" s="2"/>
      <c r="L22" s="43"/>
    </row>
    <row r="23" spans="1:15" x14ac:dyDescent="0.2">
      <c r="A23" t="s">
        <v>159</v>
      </c>
      <c r="B23" s="22"/>
      <c r="C23" s="334">
        <f>ROUND('[3]Hurr Models'!$F61/1000,0)</f>
        <v>165520</v>
      </c>
      <c r="D23" s="334">
        <f>ROUND('[3]Hurr Models'!$L61,0)</f>
        <v>405248</v>
      </c>
      <c r="E23" s="39">
        <f t="shared" si="0"/>
        <v>2.448</v>
      </c>
      <c r="K23" s="2"/>
      <c r="L23" s="43"/>
    </row>
    <row r="24" spans="1:15" x14ac:dyDescent="0.2">
      <c r="A24" t="s">
        <v>160</v>
      </c>
      <c r="B24" s="22"/>
      <c r="C24" s="334">
        <f>ROUND('[3]Hurr Models'!$F62/1000,0)</f>
        <v>1206001</v>
      </c>
      <c r="D24" s="334">
        <f>ROUND('[3]Hurr Models'!$L62,0)</f>
        <v>5658861</v>
      </c>
      <c r="E24" s="39">
        <f t="shared" si="0"/>
        <v>4.6920000000000002</v>
      </c>
      <c r="K24" s="2"/>
      <c r="L24" s="43"/>
    </row>
    <row r="25" spans="1:15" x14ac:dyDescent="0.2">
      <c r="A25" t="s">
        <v>161</v>
      </c>
      <c r="B25" s="22"/>
      <c r="C25" s="334">
        <f>ROUND('[3]Hurr Models'!$F63/1000,0)</f>
        <v>10451060</v>
      </c>
      <c r="D25" s="334">
        <f>ROUND('[3]Hurr Models'!$L63,0)</f>
        <v>27423273</v>
      </c>
      <c r="E25" s="39">
        <f t="shared" si="0"/>
        <v>2.6240000000000001</v>
      </c>
      <c r="K25" s="2"/>
      <c r="L25" s="43"/>
    </row>
    <row r="26" spans="1:15" x14ac:dyDescent="0.2">
      <c r="A26" t="s">
        <v>162</v>
      </c>
      <c r="C26" s="334">
        <f>ROUND('[3]Hurr Models'!$F64/1000,0)</f>
        <v>78471</v>
      </c>
      <c r="D26" s="334">
        <f>ROUND('[3]Hurr Models'!$L64,0)</f>
        <v>213970</v>
      </c>
      <c r="E26" s="39">
        <f t="shared" si="0"/>
        <v>2.7269999999999999</v>
      </c>
      <c r="K26" s="2"/>
      <c r="L26" s="43"/>
    </row>
    <row r="27" spans="1:15" x14ac:dyDescent="0.2">
      <c r="A27" t="s">
        <v>163</v>
      </c>
      <c r="C27" s="334">
        <f>ROUND('[3]Hurr Models'!$F65/1000,0)</f>
        <v>1670749</v>
      </c>
      <c r="D27" s="334">
        <f>ROUND('[3]Hurr Models'!$L65,0)</f>
        <v>4842555</v>
      </c>
      <c r="E27" s="39">
        <f t="shared" si="0"/>
        <v>2.8980000000000001</v>
      </c>
      <c r="K27" s="2"/>
      <c r="L27" s="43"/>
    </row>
    <row r="28" spans="1:15" x14ac:dyDescent="0.2">
      <c r="A28" t="s">
        <v>164</v>
      </c>
      <c r="C28" s="334">
        <f>ROUND('[3]Hurr Models'!$F66/1000,0)</f>
        <v>76049</v>
      </c>
      <c r="D28" s="334">
        <f>ROUND('[3]Hurr Models'!$L66,0)</f>
        <v>299989</v>
      </c>
      <c r="E28" s="39">
        <f t="shared" si="0"/>
        <v>3.9449999999999998</v>
      </c>
      <c r="K28" s="2"/>
      <c r="L28" s="43"/>
    </row>
    <row r="29" spans="1:15" x14ac:dyDescent="0.2">
      <c r="A29" s="9"/>
      <c r="B29" s="26"/>
      <c r="C29" s="81"/>
      <c r="D29" s="81"/>
      <c r="E29" s="40"/>
      <c r="F29" s="45"/>
      <c r="G29" s="45"/>
      <c r="H29" s="45"/>
      <c r="I29" s="45"/>
      <c r="J29" s="59"/>
      <c r="K29" s="2"/>
    </row>
    <row r="30" spans="1:15" x14ac:dyDescent="0.2">
      <c r="C30" s="19"/>
      <c r="D30" s="19"/>
      <c r="E30" s="12"/>
      <c r="K30" s="2"/>
      <c r="M30" s="19"/>
      <c r="N30" s="19"/>
    </row>
    <row r="31" spans="1:15" x14ac:dyDescent="0.2">
      <c r="A31" t="s">
        <v>9</v>
      </c>
      <c r="C31" s="31">
        <f>SUM(C14:C28)</f>
        <v>58682412</v>
      </c>
      <c r="D31" s="31">
        <f>SUM(D14:D28)</f>
        <v>168783817</v>
      </c>
      <c r="E31" s="39">
        <f>ROUND(D31/C31,3)</f>
        <v>2.8759999999999999</v>
      </c>
      <c r="K31" s="2"/>
      <c r="L31" s="50"/>
      <c r="M31" s="58"/>
      <c r="N31" s="58"/>
      <c r="O31" s="50"/>
    </row>
    <row r="32" spans="1:15" ht="10.5" thickBot="1" x14ac:dyDescent="0.25">
      <c r="A32" s="6"/>
      <c r="B32" s="6"/>
      <c r="C32" s="6"/>
      <c r="D32" s="6"/>
      <c r="E32" s="6"/>
      <c r="K32" s="2"/>
      <c r="L32" s="50"/>
      <c r="M32" s="50"/>
      <c r="N32" s="50"/>
      <c r="O32" s="50"/>
    </row>
    <row r="33" spans="1:15" ht="10.5" thickTop="1" x14ac:dyDescent="0.2">
      <c r="K33" s="2"/>
      <c r="L33" s="50"/>
      <c r="M33" s="50"/>
      <c r="N33" s="50"/>
      <c r="O33" s="50"/>
    </row>
    <row r="34" spans="1:15" x14ac:dyDescent="0.2">
      <c r="A34" t="s">
        <v>17</v>
      </c>
      <c r="K34" s="2"/>
      <c r="L34" s="50"/>
      <c r="M34" s="327"/>
      <c r="N34" s="328"/>
      <c r="O34" s="328"/>
    </row>
    <row r="35" spans="1:15" x14ac:dyDescent="0.2">
      <c r="B35" s="22" t="str">
        <f>C12&amp;" Provided by TWIA and Geo-coded by Impact Forecasting"</f>
        <v>(2) Provided by TWIA and Geo-coded by Impact Forecasting</v>
      </c>
      <c r="K35" s="2"/>
      <c r="L35" s="50"/>
      <c r="M35" s="50"/>
      <c r="N35" s="50"/>
      <c r="O35" s="50"/>
    </row>
    <row r="36" spans="1:15" x14ac:dyDescent="0.2">
      <c r="B36" s="22" t="str">
        <f>D12&amp;" Provided by Impact Forecasting"</f>
        <v>(3) Provided by Impact Forecasting</v>
      </c>
      <c r="K36" s="2"/>
      <c r="L36" s="50"/>
      <c r="M36" s="50"/>
      <c r="N36" s="50"/>
      <c r="O36" s="50"/>
    </row>
    <row r="37" spans="1:15" x14ac:dyDescent="0.2">
      <c r="B37" s="22" t="str">
        <f>E12&amp;" = "&amp;D12&amp;" / "&amp;C12</f>
        <v>(4) = (3) / (2)</v>
      </c>
      <c r="K37" s="2"/>
    </row>
    <row r="38" spans="1:15" x14ac:dyDescent="0.2">
      <c r="K38" s="2"/>
    </row>
    <row r="39" spans="1:15" x14ac:dyDescent="0.2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2"/>
    </row>
    <row r="40" spans="1:15" x14ac:dyDescent="0.2">
      <c r="K40" s="2"/>
    </row>
    <row r="41" spans="1:15" s="59" customFormat="1" x14ac:dyDescent="0.2">
      <c r="A41"/>
      <c r="B41"/>
      <c r="C41"/>
      <c r="D41"/>
      <c r="E41"/>
      <c r="F41"/>
      <c r="G41"/>
      <c r="H41"/>
      <c r="I41"/>
      <c r="J41"/>
      <c r="K41" s="2"/>
    </row>
    <row r="42" spans="1:15" s="59" customFormat="1" x14ac:dyDescent="0.2">
      <c r="A42"/>
      <c r="B42"/>
      <c r="C42"/>
      <c r="D42"/>
      <c r="E42" s="45"/>
      <c r="F42"/>
      <c r="G42"/>
      <c r="H42"/>
      <c r="I42"/>
      <c r="J42"/>
      <c r="K42" s="2"/>
    </row>
    <row r="43" spans="1:15" x14ac:dyDescent="0.2">
      <c r="K43" s="2"/>
    </row>
    <row r="44" spans="1:15" x14ac:dyDescent="0.2">
      <c r="K44" s="2"/>
    </row>
    <row r="45" spans="1:15" x14ac:dyDescent="0.2">
      <c r="K45" s="2"/>
    </row>
    <row r="46" spans="1:15" x14ac:dyDescent="0.2">
      <c r="K46" s="2"/>
    </row>
    <row r="47" spans="1:15" x14ac:dyDescent="0.2">
      <c r="K47" s="2"/>
    </row>
    <row r="48" spans="1:15" x14ac:dyDescent="0.2">
      <c r="K48" s="2"/>
    </row>
    <row r="49" spans="1:11" x14ac:dyDescent="0.2">
      <c r="K49" s="2"/>
    </row>
    <row r="50" spans="1:11" s="59" customFormat="1" x14ac:dyDescent="0.2">
      <c r="A50"/>
      <c r="B50"/>
      <c r="C50"/>
      <c r="D50"/>
      <c r="K50" s="2"/>
    </row>
    <row r="51" spans="1:11" s="59" customFormat="1" x14ac:dyDescent="0.2">
      <c r="K51" s="2"/>
    </row>
    <row r="52" spans="1:11" s="59" customFormat="1" x14ac:dyDescent="0.2">
      <c r="A52" s="45"/>
      <c r="B52" s="45"/>
      <c r="C52" s="45"/>
      <c r="D52" s="45"/>
      <c r="E52" s="45"/>
      <c r="F52" s="45"/>
      <c r="G52" s="45"/>
      <c r="H52" s="45"/>
      <c r="I52" s="45"/>
      <c r="K52" s="2"/>
    </row>
    <row r="53" spans="1:11" s="59" customFormat="1" x14ac:dyDescent="0.2">
      <c r="K53" s="2"/>
    </row>
    <row r="54" spans="1:11" s="59" customFormat="1" x14ac:dyDescent="0.2">
      <c r="A54" s="65"/>
      <c r="C54" s="38"/>
      <c r="D54" s="38"/>
      <c r="E54" s="38"/>
      <c r="F54" s="33"/>
      <c r="G54" s="33"/>
      <c r="H54" s="33"/>
      <c r="I54" s="33"/>
      <c r="K54" s="2"/>
    </row>
    <row r="55" spans="1:11" s="59" customFormat="1" x14ac:dyDescent="0.2">
      <c r="A55" s="65"/>
      <c r="C55" s="29"/>
      <c r="D55" s="29"/>
      <c r="E55" s="29"/>
      <c r="F55" s="29"/>
      <c r="G55" s="29"/>
      <c r="H55" s="29"/>
      <c r="I55" s="29"/>
      <c r="K55" s="2"/>
    </row>
    <row r="56" spans="1:11" s="59" customFormat="1" x14ac:dyDescent="0.2">
      <c r="A56" s="65"/>
      <c r="C56" s="29"/>
      <c r="D56" s="29"/>
      <c r="E56" s="29"/>
      <c r="F56" s="29"/>
      <c r="G56" s="29"/>
      <c r="H56" s="29"/>
      <c r="I56" s="29"/>
      <c r="K56" s="2"/>
    </row>
    <row r="57" spans="1:11" s="59" customFormat="1" x14ac:dyDescent="0.2">
      <c r="A57" s="65"/>
      <c r="C57" s="29"/>
      <c r="D57" s="29"/>
      <c r="E57" s="29"/>
      <c r="F57" s="29"/>
      <c r="G57" s="29"/>
      <c r="H57" s="29"/>
      <c r="I57" s="29"/>
      <c r="K57" s="2"/>
    </row>
    <row r="58" spans="1:11" s="59" customFormat="1" x14ac:dyDescent="0.2">
      <c r="A58" s="65"/>
      <c r="C58" s="29"/>
      <c r="D58" s="29"/>
      <c r="E58" s="29"/>
      <c r="F58" s="29"/>
      <c r="G58" s="29"/>
      <c r="H58" s="29"/>
      <c r="I58" s="29"/>
      <c r="K58" s="2"/>
    </row>
    <row r="59" spans="1:11" s="59" customFormat="1" x14ac:dyDescent="0.2">
      <c r="A59" s="65"/>
      <c r="C59" s="29"/>
      <c r="D59" s="29"/>
      <c r="E59" s="29"/>
      <c r="F59" s="29"/>
      <c r="G59" s="29"/>
      <c r="H59" s="29"/>
      <c r="I59" s="29"/>
      <c r="K59" s="2"/>
    </row>
    <row r="60" spans="1:11" s="59" customFormat="1" x14ac:dyDescent="0.2">
      <c r="A60" s="65"/>
      <c r="C60" s="29"/>
      <c r="D60" s="29"/>
      <c r="E60" s="29"/>
      <c r="F60" s="29"/>
      <c r="G60" s="29"/>
      <c r="H60" s="29"/>
      <c r="I60" s="29"/>
      <c r="K60" s="2"/>
    </row>
    <row r="61" spans="1:11" s="59" customFormat="1" x14ac:dyDescent="0.2">
      <c r="A61" s="65"/>
      <c r="C61" s="29"/>
      <c r="D61" s="29"/>
      <c r="E61" s="29"/>
      <c r="F61" s="29"/>
      <c r="G61" s="29"/>
      <c r="H61" s="29"/>
      <c r="I61" s="29"/>
      <c r="K61" s="2"/>
    </row>
    <row r="62" spans="1:11" x14ac:dyDescent="0.2">
      <c r="B62" s="25"/>
      <c r="C62" s="60"/>
      <c r="D62" s="60"/>
      <c r="E62" s="60"/>
      <c r="F62" s="23"/>
      <c r="G62" s="23"/>
      <c r="H62" s="23"/>
      <c r="K62" s="2"/>
    </row>
    <row r="63" spans="1:11" x14ac:dyDescent="0.2">
      <c r="B63" s="25"/>
      <c r="C63" s="60"/>
      <c r="D63" s="60"/>
      <c r="E63" s="60"/>
      <c r="F63" s="23"/>
      <c r="G63" s="23"/>
      <c r="H63" s="23"/>
      <c r="K63" s="2"/>
    </row>
    <row r="64" spans="1:11" x14ac:dyDescent="0.2">
      <c r="B64" s="25"/>
      <c r="C64" s="60"/>
      <c r="D64" s="60"/>
      <c r="E64" s="60"/>
      <c r="F64" s="23"/>
      <c r="G64" s="23"/>
      <c r="H64" s="23"/>
      <c r="K64" s="2"/>
    </row>
    <row r="65" spans="1:11" x14ac:dyDescent="0.2">
      <c r="B65" s="25"/>
      <c r="C65" s="60"/>
      <c r="D65" s="60"/>
      <c r="E65" s="60"/>
      <c r="F65" s="23"/>
      <c r="G65" s="23"/>
      <c r="H65" s="23"/>
      <c r="K65" s="2"/>
    </row>
    <row r="66" spans="1:11" x14ac:dyDescent="0.2">
      <c r="K66" s="2"/>
    </row>
    <row r="67" spans="1:11" ht="10.5" thickBot="1" x14ac:dyDescent="0.25">
      <c r="K67" s="2"/>
    </row>
    <row r="68" spans="1:11" ht="10.5" thickBot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3"/>
    </row>
  </sheetData>
  <pageMargins left="0.5" right="0.5" top="0.5" bottom="0.5" header="0.5" footer="0.5"/>
  <pageSetup orientation="portrait" blackAndWhite="1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5CC71D-9CCB-41D7-B7C5-B6EE90CF61C7}">
  <sheetPr>
    <tabColor rgb="FF92D050"/>
  </sheetPr>
  <dimension ref="A1:O68"/>
  <sheetViews>
    <sheetView showGridLines="0" topLeftCell="A25" workbookViewId="0">
      <selection activeCell="A4" sqref="A4"/>
    </sheetView>
  </sheetViews>
  <sheetFormatPr defaultColWidth="11.33203125" defaultRowHeight="10" x14ac:dyDescent="0.2"/>
  <cols>
    <col min="1" max="1" width="2.44140625" bestFit="1" customWidth="1"/>
    <col min="2" max="2" width="11.33203125" customWidth="1"/>
    <col min="3" max="4" width="15.33203125" customWidth="1"/>
    <col min="5" max="9" width="11.33203125" customWidth="1"/>
    <col min="10" max="10" width="4.6640625" customWidth="1"/>
    <col min="13" max="13" width="12.109375" customWidth="1"/>
    <col min="15" max="15" width="14.33203125" customWidth="1"/>
  </cols>
  <sheetData>
    <row r="1" spans="1:14" ht="10.5" x14ac:dyDescent="0.25">
      <c r="A1" s="8" t="str">
        <f>'1'!$A$1</f>
        <v>Texas Windstorm Insurance Association</v>
      </c>
      <c r="B1" s="12"/>
      <c r="J1" s="7" t="s">
        <v>168</v>
      </c>
      <c r="K1" s="1"/>
      <c r="M1" t="s">
        <v>428</v>
      </c>
      <c r="N1" t="s">
        <v>442</v>
      </c>
    </row>
    <row r="2" spans="1:14" ht="10.5" x14ac:dyDescent="0.25">
      <c r="A2" s="8" t="str">
        <f>'1'!$A$2</f>
        <v>Residential Property - Wind &amp; Hail</v>
      </c>
      <c r="B2" s="12"/>
      <c r="J2" s="7" t="s">
        <v>91</v>
      </c>
      <c r="K2" s="2"/>
    </row>
    <row r="3" spans="1:14" ht="10.5" x14ac:dyDescent="0.25">
      <c r="A3" s="8" t="str">
        <f>'1'!$A$3</f>
        <v>Rate Level Review</v>
      </c>
      <c r="B3" s="12"/>
      <c r="K3" s="2"/>
    </row>
    <row r="4" spans="1:14" x14ac:dyDescent="0.2">
      <c r="A4" t="s">
        <v>495</v>
      </c>
      <c r="B4" s="12"/>
      <c r="K4" s="2"/>
    </row>
    <row r="5" spans="1:14" x14ac:dyDescent="0.2">
      <c r="B5" s="12"/>
      <c r="K5" s="2"/>
    </row>
    <row r="6" spans="1:14" x14ac:dyDescent="0.2">
      <c r="K6" s="2"/>
    </row>
    <row r="7" spans="1:14" ht="10.5" thickBot="1" x14ac:dyDescent="0.25">
      <c r="A7" s="6"/>
      <c r="B7" s="6"/>
      <c r="C7" s="6"/>
      <c r="D7" s="6"/>
      <c r="E7" s="6"/>
      <c r="K7" s="2"/>
    </row>
    <row r="8" spans="1:14" ht="10.5" thickTop="1" x14ac:dyDescent="0.2">
      <c r="K8" s="2"/>
    </row>
    <row r="9" spans="1:14" x14ac:dyDescent="0.2">
      <c r="C9" s="52" t="s">
        <v>143</v>
      </c>
      <c r="D9" t="s">
        <v>71</v>
      </c>
      <c r="K9" s="2"/>
      <c r="L9" s="27"/>
    </row>
    <row r="10" spans="1:14" x14ac:dyDescent="0.2">
      <c r="C10" t="s">
        <v>144</v>
      </c>
      <c r="D10" t="s">
        <v>166</v>
      </c>
      <c r="E10" t="s">
        <v>145</v>
      </c>
      <c r="K10" s="2"/>
      <c r="L10" s="22" t="s">
        <v>165</v>
      </c>
    </row>
    <row r="11" spans="1:14" x14ac:dyDescent="0.2">
      <c r="A11" s="9" t="s">
        <v>142</v>
      </c>
      <c r="B11" s="9"/>
      <c r="C11" s="9" t="str">
        <f>"as of "&amp;TEXT($L$11,"m/d/yy")</f>
        <v>as of 11/30/21</v>
      </c>
      <c r="D11" s="9" t="s">
        <v>167</v>
      </c>
      <c r="E11" s="9" t="s">
        <v>146</v>
      </c>
      <c r="K11" s="2"/>
      <c r="L11" s="83">
        <f>'[3]Hurr Models'!$C$1</f>
        <v>44530</v>
      </c>
    </row>
    <row r="12" spans="1:14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4" x14ac:dyDescent="0.2">
      <c r="K13" s="2"/>
    </row>
    <row r="14" spans="1:14" x14ac:dyDescent="0.2">
      <c r="A14" t="s">
        <v>150</v>
      </c>
      <c r="C14" s="334">
        <f>ROUND('[3]Hurr Models'!$F72/1000,0)</f>
        <v>1804688</v>
      </c>
      <c r="D14" s="334">
        <f>ROUND('[3]Hurr Models'!$L72,0)</f>
        <v>3847034</v>
      </c>
      <c r="E14" s="39">
        <f t="shared" ref="E14:E28" si="0">ROUND(D14/C14,3)</f>
        <v>2.1320000000000001</v>
      </c>
      <c r="K14" s="2"/>
      <c r="L14" s="43"/>
    </row>
    <row r="15" spans="1:14" x14ac:dyDescent="0.2">
      <c r="A15" t="s">
        <v>151</v>
      </c>
      <c r="C15" s="334">
        <f>ROUND('[3]Hurr Models'!$F73/1000,0)</f>
        <v>9887460</v>
      </c>
      <c r="D15" s="334">
        <f>ROUND('[3]Hurr Models'!$L73,0)</f>
        <v>17275617</v>
      </c>
      <c r="E15" s="39">
        <f t="shared" si="0"/>
        <v>1.7470000000000001</v>
      </c>
      <c r="K15" s="2"/>
      <c r="L15" s="43"/>
    </row>
    <row r="16" spans="1:14" x14ac:dyDescent="0.2">
      <c r="A16" t="s">
        <v>152</v>
      </c>
      <c r="C16" s="334">
        <f>ROUND('[3]Hurr Models'!$F74/1000,0)</f>
        <v>997241</v>
      </c>
      <c r="D16" s="334">
        <f>ROUND('[3]Hurr Models'!$L74,0)</f>
        <v>3294081</v>
      </c>
      <c r="E16" s="39">
        <f t="shared" si="0"/>
        <v>3.3029999999999999</v>
      </c>
      <c r="K16" s="2"/>
      <c r="L16" s="43"/>
    </row>
    <row r="17" spans="1:15" x14ac:dyDescent="0.2">
      <c r="A17" t="s">
        <v>153</v>
      </c>
      <c r="C17" s="334">
        <f>ROUND('[3]Hurr Models'!$F75/1000,0)</f>
        <v>2014726</v>
      </c>
      <c r="D17" s="334">
        <f>ROUND('[3]Hurr Models'!$L75,0)</f>
        <v>3012603</v>
      </c>
      <c r="E17" s="39">
        <f t="shared" si="0"/>
        <v>1.4950000000000001</v>
      </c>
      <c r="K17" s="2"/>
      <c r="L17" s="43"/>
    </row>
    <row r="18" spans="1:15" x14ac:dyDescent="0.2">
      <c r="A18" t="s">
        <v>154</v>
      </c>
      <c r="C18" s="334">
        <f>ROUND('[3]Hurr Models'!$F76/1000,0)</f>
        <v>1530357</v>
      </c>
      <c r="D18" s="334">
        <f>ROUND('[3]Hurr Models'!$L76,0)</f>
        <v>2837065</v>
      </c>
      <c r="E18" s="39">
        <f t="shared" si="0"/>
        <v>1.8540000000000001</v>
      </c>
      <c r="K18" s="2"/>
      <c r="L18" s="43"/>
    </row>
    <row r="19" spans="1:15" x14ac:dyDescent="0.2">
      <c r="A19" t="s">
        <v>155</v>
      </c>
      <c r="C19" s="334">
        <f>ROUND('[3]Hurr Models'!$F77/1000,0)</f>
        <v>21261039</v>
      </c>
      <c r="D19" s="334">
        <f>ROUND('[3]Hurr Models'!$L77,0)</f>
        <v>54544033</v>
      </c>
      <c r="E19" s="39">
        <f t="shared" si="0"/>
        <v>2.5649999999999999</v>
      </c>
      <c r="K19" s="2"/>
      <c r="L19" s="43"/>
    </row>
    <row r="20" spans="1:15" x14ac:dyDescent="0.2">
      <c r="A20" t="s">
        <v>156</v>
      </c>
      <c r="C20" s="334">
        <f>ROUND('[3]Hurr Models'!$F78/1000,0)</f>
        <v>1237804</v>
      </c>
      <c r="D20" s="334">
        <f>ROUND('[3]Hurr Models'!$L78,0)</f>
        <v>3763066</v>
      </c>
      <c r="E20" s="39">
        <f t="shared" si="0"/>
        <v>3.04</v>
      </c>
      <c r="K20" s="2"/>
      <c r="L20" s="43"/>
    </row>
    <row r="21" spans="1:15" x14ac:dyDescent="0.2">
      <c r="A21" t="s">
        <v>157</v>
      </c>
      <c r="C21" s="334">
        <f>ROUND('[3]Hurr Models'!$F79/1000,0)</f>
        <v>6298584</v>
      </c>
      <c r="D21" s="334">
        <f>ROUND('[3]Hurr Models'!$L79,0)</f>
        <v>16053377</v>
      </c>
      <c r="E21" s="39">
        <f t="shared" si="0"/>
        <v>2.5489999999999999</v>
      </c>
      <c r="K21" s="2"/>
      <c r="L21" s="43"/>
    </row>
    <row r="22" spans="1:15" x14ac:dyDescent="0.2">
      <c r="A22" t="s">
        <v>158</v>
      </c>
      <c r="C22" s="334">
        <f>ROUND('[3]Hurr Models'!$F80/1000,0)</f>
        <v>2663</v>
      </c>
      <c r="D22" s="334">
        <f>ROUND('[3]Hurr Models'!$L80,0)</f>
        <v>4101</v>
      </c>
      <c r="E22" s="39">
        <f t="shared" si="0"/>
        <v>1.54</v>
      </c>
      <c r="K22" s="2"/>
      <c r="L22" s="43"/>
    </row>
    <row r="23" spans="1:15" x14ac:dyDescent="0.2">
      <c r="A23" t="s">
        <v>159</v>
      </c>
      <c r="B23" s="22"/>
      <c r="C23" s="334">
        <f>ROUND('[3]Hurr Models'!$F81/1000,0)</f>
        <v>165520</v>
      </c>
      <c r="D23" s="334">
        <f>ROUND('[3]Hurr Models'!$L81,0)</f>
        <v>184363</v>
      </c>
      <c r="E23" s="39">
        <f t="shared" si="0"/>
        <v>1.1140000000000001</v>
      </c>
      <c r="K23" s="2"/>
      <c r="L23" s="43"/>
    </row>
    <row r="24" spans="1:15" x14ac:dyDescent="0.2">
      <c r="A24" t="s">
        <v>160</v>
      </c>
      <c r="B24" s="22"/>
      <c r="C24" s="334">
        <f>ROUND('[3]Hurr Models'!$F82/1000,0)</f>
        <v>1206001</v>
      </c>
      <c r="D24" s="334">
        <f>ROUND('[3]Hurr Models'!$L82,0)</f>
        <v>3015156</v>
      </c>
      <c r="E24" s="39">
        <f t="shared" si="0"/>
        <v>2.5</v>
      </c>
      <c r="K24" s="2"/>
      <c r="L24" s="43"/>
    </row>
    <row r="25" spans="1:15" x14ac:dyDescent="0.2">
      <c r="A25" t="s">
        <v>161</v>
      </c>
      <c r="B25" s="22"/>
      <c r="C25" s="334">
        <f>ROUND('[3]Hurr Models'!$F83/1000,0)</f>
        <v>10451060</v>
      </c>
      <c r="D25" s="334">
        <f>ROUND('[3]Hurr Models'!$L83,0)</f>
        <v>17753371</v>
      </c>
      <c r="E25" s="39">
        <f t="shared" si="0"/>
        <v>1.6990000000000001</v>
      </c>
      <c r="K25" s="2"/>
      <c r="L25" s="43"/>
    </row>
    <row r="26" spans="1:15" x14ac:dyDescent="0.2">
      <c r="A26" t="s">
        <v>162</v>
      </c>
      <c r="C26" s="334">
        <f>ROUND('[3]Hurr Models'!$F84/1000,0)</f>
        <v>78471</v>
      </c>
      <c r="D26" s="334">
        <f>ROUND('[3]Hurr Models'!$L84,0)</f>
        <v>147346</v>
      </c>
      <c r="E26" s="39">
        <f t="shared" si="0"/>
        <v>1.8779999999999999</v>
      </c>
      <c r="K26" s="2"/>
      <c r="L26" s="43"/>
    </row>
    <row r="27" spans="1:15" x14ac:dyDescent="0.2">
      <c r="A27" t="s">
        <v>163</v>
      </c>
      <c r="C27" s="334">
        <f>ROUND('[3]Hurr Models'!$F85/1000,0)</f>
        <v>1670749</v>
      </c>
      <c r="D27" s="334">
        <f>ROUND('[3]Hurr Models'!$L85,0)</f>
        <v>2829773</v>
      </c>
      <c r="E27" s="39">
        <f t="shared" si="0"/>
        <v>1.694</v>
      </c>
      <c r="K27" s="2"/>
      <c r="L27" s="43"/>
    </row>
    <row r="28" spans="1:15" x14ac:dyDescent="0.2">
      <c r="A28" t="s">
        <v>164</v>
      </c>
      <c r="C28" s="334">
        <f>ROUND('[3]Hurr Models'!$F86/1000,0)</f>
        <v>76049</v>
      </c>
      <c r="D28" s="334">
        <f>ROUND('[3]Hurr Models'!$L86,0)</f>
        <v>157372</v>
      </c>
      <c r="E28" s="39">
        <f t="shared" si="0"/>
        <v>2.069</v>
      </c>
      <c r="K28" s="2"/>
      <c r="L28" s="43"/>
    </row>
    <row r="29" spans="1:15" x14ac:dyDescent="0.2">
      <c r="A29" s="9"/>
      <c r="B29" s="26"/>
      <c r="C29" s="81"/>
      <c r="D29" s="81"/>
      <c r="E29" s="40"/>
      <c r="F29" s="45"/>
      <c r="G29" s="45"/>
      <c r="H29" s="45"/>
      <c r="I29" s="45"/>
      <c r="J29" s="59"/>
      <c r="K29" s="2"/>
    </row>
    <row r="30" spans="1:15" x14ac:dyDescent="0.2">
      <c r="C30" s="19"/>
      <c r="D30" s="19"/>
      <c r="E30" s="12"/>
      <c r="K30" s="2"/>
      <c r="M30" s="19"/>
      <c r="N30" s="19"/>
    </row>
    <row r="31" spans="1:15" x14ac:dyDescent="0.2">
      <c r="A31" t="s">
        <v>9</v>
      </c>
      <c r="C31" s="31">
        <f>SUM(C14:C28)</f>
        <v>58682412</v>
      </c>
      <c r="D31" s="31">
        <f>SUM(D14:D28)</f>
        <v>128718358</v>
      </c>
      <c r="E31" s="39">
        <f>ROUND(D31/C31,3)</f>
        <v>2.1930000000000001</v>
      </c>
      <c r="K31" s="2"/>
      <c r="L31" s="50"/>
      <c r="M31" s="58"/>
      <c r="N31" s="58"/>
      <c r="O31" s="50"/>
    </row>
    <row r="32" spans="1:15" ht="10.5" thickBot="1" x14ac:dyDescent="0.25">
      <c r="A32" s="6"/>
      <c r="B32" s="6"/>
      <c r="C32" s="6"/>
      <c r="D32" s="6"/>
      <c r="E32" s="6"/>
      <c r="K32" s="2"/>
      <c r="L32" s="50"/>
      <c r="M32" s="50"/>
      <c r="N32" s="50"/>
      <c r="O32" s="50"/>
    </row>
    <row r="33" spans="1:15" ht="10.5" thickTop="1" x14ac:dyDescent="0.2">
      <c r="K33" s="2"/>
      <c r="L33" s="50"/>
      <c r="M33" s="50"/>
      <c r="N33" s="50"/>
      <c r="O33" s="50"/>
    </row>
    <row r="34" spans="1:15" x14ac:dyDescent="0.2">
      <c r="A34" t="s">
        <v>17</v>
      </c>
      <c r="K34" s="2"/>
      <c r="L34" s="50"/>
      <c r="M34" s="327"/>
      <c r="N34" s="328"/>
      <c r="O34" s="328"/>
    </row>
    <row r="35" spans="1:15" x14ac:dyDescent="0.2">
      <c r="B35" s="22" t="str">
        <f>C12&amp;" Provided by TWIA and Geo-coded by CoreLogic RQE"</f>
        <v>(2) Provided by TWIA and Geo-coded by CoreLogic RQE</v>
      </c>
      <c r="K35" s="2"/>
      <c r="L35" s="50"/>
      <c r="M35" s="50"/>
      <c r="N35" s="50"/>
      <c r="O35" s="50"/>
    </row>
    <row r="36" spans="1:15" x14ac:dyDescent="0.2">
      <c r="B36" s="22" t="str">
        <f>D12&amp;" Provided by CoreLogic RQE"</f>
        <v>(3) Provided by CoreLogic RQE</v>
      </c>
      <c r="K36" s="2"/>
      <c r="L36" s="50"/>
      <c r="M36" s="50"/>
      <c r="N36" s="50"/>
      <c r="O36" s="50"/>
    </row>
    <row r="37" spans="1:15" x14ac:dyDescent="0.2">
      <c r="B37" s="22" t="str">
        <f>E12&amp;" = "&amp;D12&amp;" / "&amp;C12</f>
        <v>(4) = (3) / (2)</v>
      </c>
      <c r="K37" s="2"/>
    </row>
    <row r="38" spans="1:15" x14ac:dyDescent="0.2">
      <c r="K38" s="2"/>
    </row>
    <row r="39" spans="1:15" x14ac:dyDescent="0.2">
      <c r="A39" s="59"/>
      <c r="B39" s="59"/>
      <c r="C39" s="59"/>
      <c r="D39" s="59"/>
      <c r="E39" s="59"/>
      <c r="F39" s="59"/>
      <c r="G39" s="59"/>
      <c r="H39" s="59"/>
      <c r="I39" s="59"/>
      <c r="J39" s="59"/>
      <c r="K39" s="2"/>
    </row>
    <row r="40" spans="1:15" x14ac:dyDescent="0.2">
      <c r="K40" s="2"/>
    </row>
    <row r="41" spans="1:15" s="59" customFormat="1" x14ac:dyDescent="0.2">
      <c r="A41"/>
      <c r="B41"/>
      <c r="C41"/>
      <c r="D41"/>
      <c r="E41"/>
      <c r="F41"/>
      <c r="G41"/>
      <c r="H41"/>
      <c r="I41"/>
      <c r="J41"/>
      <c r="K41" s="2"/>
    </row>
    <row r="42" spans="1:15" s="59" customFormat="1" x14ac:dyDescent="0.2">
      <c r="A42"/>
      <c r="B42"/>
      <c r="C42"/>
      <c r="D42"/>
      <c r="E42" s="45"/>
      <c r="F42"/>
      <c r="G42"/>
      <c r="H42"/>
      <c r="I42"/>
      <c r="J42"/>
      <c r="K42" s="2"/>
    </row>
    <row r="43" spans="1:15" x14ac:dyDescent="0.2">
      <c r="K43" s="2"/>
    </row>
    <row r="44" spans="1:15" x14ac:dyDescent="0.2">
      <c r="K44" s="2"/>
    </row>
    <row r="45" spans="1:15" x14ac:dyDescent="0.2">
      <c r="K45" s="2"/>
    </row>
    <row r="46" spans="1:15" x14ac:dyDescent="0.2">
      <c r="K46" s="2"/>
    </row>
    <row r="47" spans="1:15" x14ac:dyDescent="0.2">
      <c r="K47" s="2"/>
    </row>
    <row r="48" spans="1:15" x14ac:dyDescent="0.2">
      <c r="K48" s="2"/>
    </row>
    <row r="49" spans="1:11" x14ac:dyDescent="0.2">
      <c r="K49" s="2"/>
    </row>
    <row r="50" spans="1:11" s="59" customFormat="1" x14ac:dyDescent="0.2">
      <c r="A50"/>
      <c r="B50"/>
      <c r="C50"/>
      <c r="D50"/>
      <c r="K50" s="2"/>
    </row>
    <row r="51" spans="1:11" s="59" customFormat="1" x14ac:dyDescent="0.2">
      <c r="K51" s="2"/>
    </row>
    <row r="52" spans="1:11" s="59" customFormat="1" x14ac:dyDescent="0.2">
      <c r="A52" s="45"/>
      <c r="B52" s="45"/>
      <c r="C52" s="45"/>
      <c r="D52" s="45"/>
      <c r="E52" s="45"/>
      <c r="F52" s="45"/>
      <c r="G52" s="45"/>
      <c r="H52" s="45"/>
      <c r="I52" s="45"/>
      <c r="K52" s="2"/>
    </row>
    <row r="53" spans="1:11" s="59" customFormat="1" x14ac:dyDescent="0.2">
      <c r="K53" s="2"/>
    </row>
    <row r="54" spans="1:11" s="59" customFormat="1" x14ac:dyDescent="0.2">
      <c r="A54" s="65"/>
      <c r="C54" s="38"/>
      <c r="D54" s="38"/>
      <c r="E54" s="38"/>
      <c r="F54" s="33"/>
      <c r="G54" s="33"/>
      <c r="H54" s="33"/>
      <c r="I54" s="33"/>
      <c r="K54" s="2"/>
    </row>
    <row r="55" spans="1:11" s="59" customFormat="1" x14ac:dyDescent="0.2">
      <c r="A55" s="65"/>
      <c r="C55" s="29"/>
      <c r="D55" s="29"/>
      <c r="E55" s="29"/>
      <c r="F55" s="29"/>
      <c r="G55" s="29"/>
      <c r="H55" s="29"/>
      <c r="I55" s="29"/>
      <c r="K55" s="2"/>
    </row>
    <row r="56" spans="1:11" s="59" customFormat="1" x14ac:dyDescent="0.2">
      <c r="A56" s="65"/>
      <c r="C56" s="29"/>
      <c r="D56" s="29"/>
      <c r="E56" s="29"/>
      <c r="F56" s="29"/>
      <c r="G56" s="29"/>
      <c r="H56" s="29"/>
      <c r="I56" s="29"/>
      <c r="K56" s="2"/>
    </row>
    <row r="57" spans="1:11" s="59" customFormat="1" x14ac:dyDescent="0.2">
      <c r="A57" s="65"/>
      <c r="C57" s="29"/>
      <c r="D57" s="29"/>
      <c r="E57" s="29"/>
      <c r="F57" s="29"/>
      <c r="G57" s="29"/>
      <c r="H57" s="29"/>
      <c r="I57" s="29"/>
      <c r="K57" s="2"/>
    </row>
    <row r="58" spans="1:11" s="59" customFormat="1" x14ac:dyDescent="0.2">
      <c r="A58" s="65"/>
      <c r="C58" s="29"/>
      <c r="D58" s="29"/>
      <c r="E58" s="29"/>
      <c r="F58" s="29"/>
      <c r="G58" s="29"/>
      <c r="H58" s="29"/>
      <c r="I58" s="29"/>
      <c r="K58" s="2"/>
    </row>
    <row r="59" spans="1:11" s="59" customFormat="1" x14ac:dyDescent="0.2">
      <c r="A59" s="65"/>
      <c r="C59" s="29"/>
      <c r="D59" s="29"/>
      <c r="E59" s="29"/>
      <c r="F59" s="29"/>
      <c r="G59" s="29"/>
      <c r="H59" s="29"/>
      <c r="I59" s="29"/>
      <c r="K59" s="2"/>
    </row>
    <row r="60" spans="1:11" s="59" customFormat="1" x14ac:dyDescent="0.2">
      <c r="A60" s="65"/>
      <c r="C60" s="29"/>
      <c r="D60" s="29"/>
      <c r="E60" s="29"/>
      <c r="F60" s="29"/>
      <c r="G60" s="29"/>
      <c r="H60" s="29"/>
      <c r="I60" s="29"/>
      <c r="K60" s="2"/>
    </row>
    <row r="61" spans="1:11" s="59" customFormat="1" x14ac:dyDescent="0.2">
      <c r="A61" s="65"/>
      <c r="C61" s="29"/>
      <c r="D61" s="29"/>
      <c r="E61" s="29"/>
      <c r="F61" s="29"/>
      <c r="G61" s="29"/>
      <c r="H61" s="29"/>
      <c r="I61" s="29"/>
      <c r="K61" s="2"/>
    </row>
    <row r="62" spans="1:11" x14ac:dyDescent="0.2">
      <c r="B62" s="25"/>
      <c r="C62" s="60"/>
      <c r="D62" s="60"/>
      <c r="E62" s="60"/>
      <c r="F62" s="23"/>
      <c r="G62" s="23"/>
      <c r="H62" s="23"/>
      <c r="K62" s="2"/>
    </row>
    <row r="63" spans="1:11" x14ac:dyDescent="0.2">
      <c r="B63" s="25"/>
      <c r="C63" s="60"/>
      <c r="D63" s="60"/>
      <c r="E63" s="60"/>
      <c r="F63" s="23"/>
      <c r="G63" s="23"/>
      <c r="H63" s="23"/>
      <c r="K63" s="2"/>
    </row>
    <row r="64" spans="1:11" x14ac:dyDescent="0.2">
      <c r="B64" s="25"/>
      <c r="C64" s="60"/>
      <c r="D64" s="60"/>
      <c r="E64" s="60"/>
      <c r="F64" s="23"/>
      <c r="G64" s="23"/>
      <c r="H64" s="23"/>
      <c r="K64" s="2"/>
    </row>
    <row r="65" spans="1:11" x14ac:dyDescent="0.2">
      <c r="B65" s="25"/>
      <c r="C65" s="60"/>
      <c r="D65" s="60"/>
      <c r="E65" s="60"/>
      <c r="F65" s="23"/>
      <c r="G65" s="23"/>
      <c r="H65" s="23"/>
      <c r="K65" s="2"/>
    </row>
    <row r="66" spans="1:11" x14ac:dyDescent="0.2">
      <c r="K66" s="2"/>
    </row>
    <row r="67" spans="1:11" ht="10.5" thickBot="1" x14ac:dyDescent="0.25">
      <c r="K67" s="2"/>
    </row>
    <row r="68" spans="1:11" ht="10.5" thickBot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3"/>
    </row>
  </sheetData>
  <pageMargins left="0.5" right="0.5" top="0.5" bottom="0.5" header="0.5" footer="0.5"/>
  <pageSetup orientation="portrait" blackAndWhite="1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0">
    <tabColor rgb="FF92D050"/>
  </sheetPr>
  <dimension ref="A1:P72"/>
  <sheetViews>
    <sheetView showGridLines="0" topLeftCell="A46" workbookViewId="0">
      <selection activeCell="H62" sqref="H62"/>
    </sheetView>
  </sheetViews>
  <sheetFormatPr defaultColWidth="11.33203125" defaultRowHeight="10" x14ac:dyDescent="0.2"/>
  <cols>
    <col min="1" max="1" width="6.33203125" customWidth="1"/>
    <col min="2" max="2" width="10.109375" customWidth="1"/>
    <col min="3" max="3" width="20.109375" customWidth="1"/>
    <col min="4" max="4" width="11.33203125" customWidth="1"/>
    <col min="5" max="5" width="6.33203125" customWidth="1"/>
    <col min="6" max="6" width="10.109375" customWidth="1"/>
    <col min="7" max="7" width="20.109375" customWidth="1"/>
    <col min="8" max="9" width="11.33203125" customWidth="1"/>
    <col min="10" max="10" width="14" customWidth="1"/>
  </cols>
  <sheetData>
    <row r="1" spans="1:16" ht="10.5" x14ac:dyDescent="0.25">
      <c r="A1" s="8" t="str">
        <f>'1'!$A$1</f>
        <v>Texas Windstorm Insurance Association</v>
      </c>
      <c r="J1" s="7" t="s">
        <v>171</v>
      </c>
      <c r="K1" s="1"/>
      <c r="O1" t="s">
        <v>428</v>
      </c>
      <c r="P1" t="s">
        <v>440</v>
      </c>
    </row>
    <row r="2" spans="1:16" ht="10.5" x14ac:dyDescent="0.25">
      <c r="A2" s="8" t="str">
        <f>'1'!$A$2</f>
        <v>Residential Property - Wind &amp; Hail</v>
      </c>
      <c r="J2" s="7"/>
      <c r="K2" s="2"/>
      <c r="O2" t="s">
        <v>428</v>
      </c>
      <c r="P2" t="s">
        <v>441</v>
      </c>
    </row>
    <row r="3" spans="1:16" ht="10.5" x14ac:dyDescent="0.25">
      <c r="A3" s="8" t="str">
        <f>'1'!$A$3</f>
        <v>Rate Level Review</v>
      </c>
      <c r="K3" s="2"/>
      <c r="L3" t="s">
        <v>115</v>
      </c>
      <c r="M3" t="s">
        <v>116</v>
      </c>
    </row>
    <row r="4" spans="1:16" x14ac:dyDescent="0.2">
      <c r="A4" t="str">
        <f>"Texas Hurricanes "&amp;L4&amp;" - "&amp;YEAR(M4)</f>
        <v>Texas Hurricanes 1850 - 2021</v>
      </c>
      <c r="K4" s="2"/>
      <c r="L4" s="27">
        <v>1850</v>
      </c>
      <c r="M4" s="89">
        <v>44561</v>
      </c>
    </row>
    <row r="5" spans="1:16" x14ac:dyDescent="0.2">
      <c r="K5" s="2"/>
    </row>
    <row r="6" spans="1:16" x14ac:dyDescent="0.2">
      <c r="K6" s="2"/>
    </row>
    <row r="7" spans="1:16" ht="10.5" thickBot="1" x14ac:dyDescent="0.25">
      <c r="A7" s="6"/>
      <c r="B7" s="6"/>
      <c r="C7" s="6"/>
      <c r="D7" s="6"/>
      <c r="E7" s="6"/>
      <c r="F7" s="6"/>
      <c r="G7" s="6"/>
      <c r="K7" s="2"/>
    </row>
    <row r="8" spans="1:16" ht="10.5" thickTop="1" x14ac:dyDescent="0.2">
      <c r="K8" s="2"/>
    </row>
    <row r="9" spans="1:16" x14ac:dyDescent="0.2">
      <c r="B9" s="52"/>
      <c r="K9" s="2"/>
      <c r="L9" s="27"/>
    </row>
    <row r="10" spans="1:16" x14ac:dyDescent="0.2">
      <c r="A10" s="10" t="s">
        <v>295</v>
      </c>
      <c r="E10" s="10" t="s">
        <v>295</v>
      </c>
      <c r="K10" s="2"/>
    </row>
    <row r="11" spans="1:16" x14ac:dyDescent="0.2">
      <c r="A11" s="9" t="s">
        <v>54</v>
      </c>
      <c r="B11" s="9" t="s">
        <v>296</v>
      </c>
      <c r="C11" s="9" t="s">
        <v>175</v>
      </c>
      <c r="E11" s="9" t="s">
        <v>54</v>
      </c>
      <c r="F11" s="9" t="s">
        <v>296</v>
      </c>
      <c r="G11" s="9" t="s">
        <v>175</v>
      </c>
      <c r="K11" s="2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E12" s="13" t="str">
        <f>A12</f>
        <v>(1)</v>
      </c>
      <c r="F12" s="13"/>
      <c r="G12" s="13" t="str">
        <f>C12</f>
        <v>(2)</v>
      </c>
      <c r="K12" s="2"/>
    </row>
    <row r="13" spans="1:16" x14ac:dyDescent="0.2">
      <c r="K13" s="2"/>
    </row>
    <row r="14" spans="1:16" x14ac:dyDescent="0.2">
      <c r="A14" s="340">
        <f>IF(LEN('[4]9'!A14),'[4]9'!A14,"")</f>
        <v>1851</v>
      </c>
      <c r="B14" s="340" t="str">
        <f>IF(LEN('[4]9'!B14),'[4]9'!B14,"")</f>
        <v>Jun</v>
      </c>
      <c r="C14" s="340" t="str">
        <f>IF(LEN('[4]9'!C14),'[4]9'!C14,"")</f>
        <v/>
      </c>
      <c r="D14" s="340"/>
      <c r="E14" s="340">
        <f>IF(LEN('[4]9'!E14),'[4]9'!E14,"")</f>
        <v>1933</v>
      </c>
      <c r="F14" s="340" t="str">
        <f>IF(LEN('[4]9'!F14),'[4]9'!F14,"")</f>
        <v>Sep</v>
      </c>
      <c r="G14" s="340" t="str">
        <f>IF(LEN('[4]9'!G14),'[4]9'!G14,"")</f>
        <v/>
      </c>
      <c r="K14" s="2"/>
      <c r="M14" s="68"/>
    </row>
    <row r="15" spans="1:16" x14ac:dyDescent="0.2">
      <c r="A15" s="340">
        <f>IF(LEN('[4]9'!A15),'[4]9'!A15,"")</f>
        <v>1854</v>
      </c>
      <c r="B15" s="340" t="str">
        <f>IF(LEN('[4]9'!B15),'[4]9'!B15,"")</f>
        <v>Jun</v>
      </c>
      <c r="C15" s="340" t="str">
        <f>IF(LEN('[4]9'!C15),'[4]9'!C15,"")</f>
        <v/>
      </c>
      <c r="D15" s="340"/>
      <c r="E15" s="340">
        <f>IF(LEN('[4]9'!E15),'[4]9'!E15,"")</f>
        <v>1934</v>
      </c>
      <c r="F15" s="340" t="str">
        <f>IF(LEN('[4]9'!F15),'[4]9'!F15,"")</f>
        <v>Jul</v>
      </c>
      <c r="G15" s="340" t="str">
        <f>IF(LEN('[4]9'!G15),'[4]9'!G15,"")</f>
        <v/>
      </c>
      <c r="K15" s="2"/>
      <c r="M15" s="68"/>
    </row>
    <row r="16" spans="1:16" x14ac:dyDescent="0.2">
      <c r="A16" s="340">
        <f>IF(LEN('[4]9'!A16),'[4]9'!A16,"")</f>
        <v>1854</v>
      </c>
      <c r="B16" s="340" t="str">
        <f>IF(LEN('[4]9'!B16),'[4]9'!B16,"")</f>
        <v>Sep</v>
      </c>
      <c r="C16" s="340" t="str">
        <f>IF(LEN('[4]9'!C16),'[4]9'!C16,"")</f>
        <v>“Matagorda”</v>
      </c>
      <c r="D16" s="340"/>
      <c r="E16" s="340">
        <f>IF(LEN('[4]9'!E16),'[4]9'!E16,"")</f>
        <v>1936</v>
      </c>
      <c r="F16" s="340" t="str">
        <f>IF(LEN('[4]9'!F16),'[4]9'!F16,"")</f>
        <v>Jun</v>
      </c>
      <c r="G16" s="340" t="str">
        <f>IF(LEN('[4]9'!G16),'[4]9'!G16,"")</f>
        <v/>
      </c>
      <c r="K16" s="2"/>
      <c r="M16" s="68"/>
    </row>
    <row r="17" spans="1:13" x14ac:dyDescent="0.2">
      <c r="A17" s="340">
        <f>IF(LEN('[4]9'!A17),'[4]9'!A17,"")</f>
        <v>1865</v>
      </c>
      <c r="B17" s="340" t="str">
        <f>IF(LEN('[4]9'!B17),'[4]9'!B17,"")</f>
        <v>Sep</v>
      </c>
      <c r="C17" s="340" t="str">
        <f>IF(LEN('[4]9'!C17),'[4]9'!C17,"")</f>
        <v>“Sabine River-Lake Calcasieu”</v>
      </c>
      <c r="D17" s="340"/>
      <c r="E17" s="340">
        <f>IF(LEN('[4]9'!E17),'[4]9'!E17,"")</f>
        <v>1940</v>
      </c>
      <c r="F17" s="340" t="str">
        <f>IF(LEN('[4]9'!F17),'[4]9'!F17,"")</f>
        <v>Aug</v>
      </c>
      <c r="G17" s="340" t="str">
        <f>IF(LEN('[4]9'!G17),'[4]9'!G17,"")</f>
        <v/>
      </c>
      <c r="K17" s="2"/>
      <c r="M17" s="68"/>
    </row>
    <row r="18" spans="1:13" x14ac:dyDescent="0.2">
      <c r="A18" s="340">
        <f>IF(LEN('[4]9'!A18),'[4]9'!A18,"")</f>
        <v>1866</v>
      </c>
      <c r="B18" s="340" t="str">
        <f>IF(LEN('[4]9'!B18),'[4]9'!B18,"")</f>
        <v>Jul</v>
      </c>
      <c r="C18" s="340" t="str">
        <f>IF(LEN('[4]9'!C18),'[4]9'!C18,"")</f>
        <v/>
      </c>
      <c r="D18" s="340"/>
      <c r="E18" s="340">
        <f>IF(LEN('[4]9'!E18),'[4]9'!E18,"")</f>
        <v>1941</v>
      </c>
      <c r="F18" s="340" t="str">
        <f>IF(LEN('[4]9'!F18),'[4]9'!F18,"")</f>
        <v>Sep</v>
      </c>
      <c r="G18" s="340" t="str">
        <f>IF(LEN('[4]9'!G18),'[4]9'!G18,"")</f>
        <v/>
      </c>
      <c r="K18" s="2"/>
      <c r="M18" s="68"/>
    </row>
    <row r="19" spans="1:13" x14ac:dyDescent="0.2">
      <c r="A19" s="340">
        <f>IF(LEN('[4]9'!A19),'[4]9'!A19,"")</f>
        <v>1867</v>
      </c>
      <c r="B19" s="340" t="str">
        <f>IF(LEN('[4]9'!B19),'[4]9'!B19,"")</f>
        <v>Oct</v>
      </c>
      <c r="C19" s="340" t="str">
        <f>IF(LEN('[4]9'!C19),'[4]9'!C19,"")</f>
        <v>“Galveston”</v>
      </c>
      <c r="D19" s="340"/>
      <c r="E19" s="340">
        <f>IF(LEN('[4]9'!E19),'[4]9'!E19,"")</f>
        <v>1942</v>
      </c>
      <c r="F19" s="340" t="str">
        <f>IF(LEN('[4]9'!F19),'[4]9'!F19,"")</f>
        <v>Aug</v>
      </c>
      <c r="G19" s="340" t="str">
        <f>IF(LEN('[4]9'!G19),'[4]9'!G19,"")</f>
        <v/>
      </c>
      <c r="K19" s="2"/>
      <c r="M19" s="68"/>
    </row>
    <row r="20" spans="1:13" x14ac:dyDescent="0.2">
      <c r="A20" s="340">
        <f>IF(LEN('[4]9'!A20),'[4]9'!A20,"")</f>
        <v>1869</v>
      </c>
      <c r="B20" s="340" t="str">
        <f>IF(LEN('[4]9'!B20),'[4]9'!B20,"")</f>
        <v>Aug</v>
      </c>
      <c r="C20" s="340" t="str">
        <f>IF(LEN('[4]9'!C20),'[4]9'!C20,"")</f>
        <v>“Lower Texas Coast"</v>
      </c>
      <c r="D20" s="340"/>
      <c r="E20" s="340">
        <f>IF(LEN('[4]9'!E20),'[4]9'!E20,"")</f>
        <v>1942</v>
      </c>
      <c r="F20" s="340" t="str">
        <f>IF(LEN('[4]9'!F20),'[4]9'!F20,"")</f>
        <v>Aug</v>
      </c>
      <c r="G20" s="340" t="str">
        <f>IF(LEN('[4]9'!G20),'[4]9'!G20,"")</f>
        <v/>
      </c>
      <c r="K20" s="2"/>
      <c r="M20" s="68"/>
    </row>
    <row r="21" spans="1:13" x14ac:dyDescent="0.2">
      <c r="A21" s="340">
        <f>IF(LEN('[4]9'!A21),'[4]9'!A21,"")</f>
        <v>1875</v>
      </c>
      <c r="B21" s="340" t="str">
        <f>IF(LEN('[4]9'!B21),'[4]9'!B21,"")</f>
        <v>Sep</v>
      </c>
      <c r="C21" s="340" t="str">
        <f>IF(LEN('[4]9'!C21),'[4]9'!C21,"")</f>
        <v/>
      </c>
      <c r="D21" s="340"/>
      <c r="E21" s="340">
        <f>IF(LEN('[4]9'!E21),'[4]9'!E21,"")</f>
        <v>1943</v>
      </c>
      <c r="F21" s="340" t="str">
        <f>IF(LEN('[4]9'!F21),'[4]9'!F21,"")</f>
        <v>Jul</v>
      </c>
      <c r="G21" s="340" t="str">
        <f>IF(LEN('[4]9'!G21),'[4]9'!G21,"")</f>
        <v/>
      </c>
      <c r="K21" s="2"/>
      <c r="M21" s="68"/>
    </row>
    <row r="22" spans="1:13" x14ac:dyDescent="0.2">
      <c r="A22" s="340">
        <f>IF(LEN('[4]9'!A22),'[4]9'!A22,"")</f>
        <v>1879</v>
      </c>
      <c r="B22" s="340" t="str">
        <f>IF(LEN('[4]9'!B22),'[4]9'!B22,"")</f>
        <v>Aug</v>
      </c>
      <c r="C22" s="340" t="str">
        <f>IF(LEN('[4]9'!C22),'[4]9'!C22,"")</f>
        <v/>
      </c>
      <c r="D22" s="340"/>
      <c r="E22" s="340">
        <f>IF(LEN('[4]9'!E22),'[4]9'!E22,"")</f>
        <v>1945</v>
      </c>
      <c r="F22" s="340" t="str">
        <f>IF(LEN('[4]9'!F22),'[4]9'!F22,"")</f>
        <v>Aug</v>
      </c>
      <c r="G22" s="340" t="str">
        <f>IF(LEN('[4]9'!G22),'[4]9'!G22,"")</f>
        <v/>
      </c>
      <c r="K22" s="2"/>
      <c r="M22" s="68"/>
    </row>
    <row r="23" spans="1:13" x14ac:dyDescent="0.2">
      <c r="A23" s="340">
        <f>IF(LEN('[4]9'!A23),'[4]9'!A23,"")</f>
        <v>1880</v>
      </c>
      <c r="B23" s="340" t="str">
        <f>IF(LEN('[4]9'!B23),'[4]9'!B23,"")</f>
        <v>Aug</v>
      </c>
      <c r="C23" s="340" t="str">
        <f>IF(LEN('[4]9'!C23),'[4]9'!C23,"")</f>
        <v/>
      </c>
      <c r="D23" s="340"/>
      <c r="E23" s="340">
        <f>IF(LEN('[4]9'!E23),'[4]9'!E23,"")</f>
        <v>1947</v>
      </c>
      <c r="F23" s="340" t="str">
        <f>IF(LEN('[4]9'!F23),'[4]9'!F23,"")</f>
        <v>Aug</v>
      </c>
      <c r="G23" s="340" t="str">
        <f>IF(LEN('[4]9'!G23),'[4]9'!G23,"")</f>
        <v/>
      </c>
      <c r="K23" s="2"/>
      <c r="M23" s="68"/>
    </row>
    <row r="24" spans="1:13" x14ac:dyDescent="0.2">
      <c r="A24" s="340">
        <f>IF(LEN('[4]9'!A24),'[4]9'!A24,"")</f>
        <v>1882</v>
      </c>
      <c r="B24" s="340" t="str">
        <f>IF(LEN('[4]9'!B24),'[4]9'!B24,"")</f>
        <v>Sep</v>
      </c>
      <c r="C24" s="340" t="str">
        <f>IF(LEN('[4]9'!C24),'[4]9'!C24,"")</f>
        <v/>
      </c>
      <c r="D24" s="340"/>
      <c r="E24" s="340">
        <f>IF(LEN('[4]9'!E24),'[4]9'!E24,"")</f>
        <v>1949</v>
      </c>
      <c r="F24" s="340" t="str">
        <f>IF(LEN('[4]9'!F24),'[4]9'!F24,"")</f>
        <v>Oct</v>
      </c>
      <c r="G24" s="340" t="str">
        <f>IF(LEN('[4]9'!G24),'[4]9'!G24,"")</f>
        <v/>
      </c>
      <c r="K24" s="2"/>
      <c r="M24" s="68"/>
    </row>
    <row r="25" spans="1:13" x14ac:dyDescent="0.2">
      <c r="A25" s="340">
        <f>IF(LEN('[4]9'!A25),'[4]9'!A25,"")</f>
        <v>1886</v>
      </c>
      <c r="B25" s="340" t="str">
        <f>IF(LEN('[4]9'!B25),'[4]9'!B25,"")</f>
        <v>Jun</v>
      </c>
      <c r="C25" s="340" t="str">
        <f>IF(LEN('[4]9'!C25),'[4]9'!C25,"")</f>
        <v/>
      </c>
      <c r="D25" s="340"/>
      <c r="E25" s="340">
        <f>IF(LEN('[4]9'!E25),'[4]9'!E25,"")</f>
        <v>1957</v>
      </c>
      <c r="F25" s="340" t="str">
        <f>IF(LEN('[4]9'!F25),'[4]9'!F25,"")</f>
        <v>Jun</v>
      </c>
      <c r="G25" s="340" t="str">
        <f>IF(LEN('[4]9'!G25),'[4]9'!G25,"")</f>
        <v>Audrey</v>
      </c>
      <c r="K25" s="2"/>
      <c r="M25" s="68"/>
    </row>
    <row r="26" spans="1:13" x14ac:dyDescent="0.2">
      <c r="A26" s="340">
        <f>IF(LEN('[4]9'!A26),'[4]9'!A26,"")</f>
        <v>1886</v>
      </c>
      <c r="B26" s="340" t="str">
        <f>IF(LEN('[4]9'!B26),'[4]9'!B26,"")</f>
        <v>Aug</v>
      </c>
      <c r="C26" s="340" t="str">
        <f>IF(LEN('[4]9'!C26),'[4]9'!C26,"")</f>
        <v>“Indianola”</v>
      </c>
      <c r="D26" s="340"/>
      <c r="E26" s="340">
        <f>IF(LEN('[4]9'!E26),'[4]9'!E26,"")</f>
        <v>1959</v>
      </c>
      <c r="F26" s="340" t="str">
        <f>IF(LEN('[4]9'!F26),'[4]9'!F26,"")</f>
        <v>Jul</v>
      </c>
      <c r="G26" s="340" t="str">
        <f>IF(LEN('[4]9'!G26),'[4]9'!G26,"")</f>
        <v>Debra</v>
      </c>
      <c r="K26" s="2"/>
      <c r="M26" s="68"/>
    </row>
    <row r="27" spans="1:13" x14ac:dyDescent="0.2">
      <c r="A27" s="340">
        <f>IF(LEN('[4]9'!A27),'[4]9'!A27,"")</f>
        <v>1886</v>
      </c>
      <c r="B27" s="340" t="str">
        <f>IF(LEN('[4]9'!B27),'[4]9'!B27,"")</f>
        <v>Sep</v>
      </c>
      <c r="C27" s="340" t="str">
        <f>IF(LEN('[4]9'!C27),'[4]9'!C27,"")</f>
        <v/>
      </c>
      <c r="D27" s="340"/>
      <c r="E27" s="340">
        <f>IF(LEN('[4]9'!E27),'[4]9'!E27,"")</f>
        <v>1961</v>
      </c>
      <c r="F27" s="340" t="str">
        <f>IF(LEN('[4]9'!F27),'[4]9'!F27,"")</f>
        <v>Sep</v>
      </c>
      <c r="G27" s="340" t="str">
        <f>IF(LEN('[4]9'!G27),'[4]9'!G27,"")</f>
        <v>Carla</v>
      </c>
      <c r="K27" s="2"/>
      <c r="M27" s="68"/>
    </row>
    <row r="28" spans="1:13" x14ac:dyDescent="0.2">
      <c r="A28" s="340">
        <f>IF(LEN('[4]9'!A28),'[4]9'!A28,"")</f>
        <v>1886</v>
      </c>
      <c r="B28" s="340" t="str">
        <f>IF(LEN('[4]9'!B28),'[4]9'!B28,"")</f>
        <v>Oct</v>
      </c>
      <c r="C28" s="340" t="str">
        <f>IF(LEN('[4]9'!C28),'[4]9'!C28,"")</f>
        <v/>
      </c>
      <c r="D28" s="340"/>
      <c r="E28" s="344">
        <f>IF(LEN('[4]9'!E28),'[4]9'!E28,"")</f>
        <v>1963</v>
      </c>
      <c r="F28" s="344" t="str">
        <f>IF(LEN('[4]9'!F28),'[4]9'!F28,"")</f>
        <v>Sep</v>
      </c>
      <c r="G28" s="344" t="str">
        <f>IF(LEN('[4]9'!G28),'[4]9'!G28,"")</f>
        <v>Cindy</v>
      </c>
      <c r="K28" s="2"/>
      <c r="M28" s="68"/>
    </row>
    <row r="29" spans="1:13" x14ac:dyDescent="0.2">
      <c r="A29" s="340">
        <f>IF(LEN('[4]9'!A29),'[4]9'!A29,"")</f>
        <v>1887</v>
      </c>
      <c r="B29" s="340" t="str">
        <f>IF(LEN('[4]9'!B29),'[4]9'!B29,"")</f>
        <v>Sep</v>
      </c>
      <c r="C29" s="340" t="str">
        <f>IF(LEN('[4]9'!C29),'[4]9'!C29,"")</f>
        <v/>
      </c>
      <c r="D29" s="340"/>
      <c r="E29" s="340">
        <f>IF(LEN('[4]9'!E29),'[4]9'!E29,"")</f>
        <v>1967</v>
      </c>
      <c r="F29" s="340" t="str">
        <f>IF(LEN('[4]9'!F29),'[4]9'!F29,"")</f>
        <v>Sep</v>
      </c>
      <c r="G29" s="340" t="str">
        <f>IF(LEN('[4]9'!G29),'[4]9'!G29,"")</f>
        <v>Beulah</v>
      </c>
      <c r="K29" s="2"/>
      <c r="M29" s="68"/>
    </row>
    <row r="30" spans="1:13" x14ac:dyDescent="0.2">
      <c r="A30" s="340">
        <f>IF(LEN('[4]9'!A30),'[4]9'!A30,"")</f>
        <v>1888</v>
      </c>
      <c r="B30" s="340" t="str">
        <f>IF(LEN('[4]9'!B30),'[4]9'!B30,"")</f>
        <v>Jun</v>
      </c>
      <c r="C30" s="340" t="str">
        <f>IF(LEN('[4]9'!C30),'[4]9'!C30,"")</f>
        <v/>
      </c>
      <c r="D30" s="340"/>
      <c r="E30" s="340">
        <f>IF(LEN('[4]9'!E30),'[4]9'!E30,"")</f>
        <v>1970</v>
      </c>
      <c r="F30" s="340" t="str">
        <f>IF(LEN('[4]9'!F30),'[4]9'!F30,"")</f>
        <v>Aug</v>
      </c>
      <c r="G30" s="340" t="str">
        <f>IF(LEN('[4]9'!G30),'[4]9'!G30,"")</f>
        <v>Celia</v>
      </c>
      <c r="K30" s="2"/>
      <c r="M30" s="68"/>
    </row>
    <row r="31" spans="1:13" x14ac:dyDescent="0.2">
      <c r="A31" s="340">
        <f>IF(LEN('[4]9'!A31),'[4]9'!A31,"")</f>
        <v>1891</v>
      </c>
      <c r="B31" s="340" t="str">
        <f>IF(LEN('[4]9'!B31),'[4]9'!B31,"")</f>
        <v>Jul</v>
      </c>
      <c r="C31" s="340" t="str">
        <f>IF(LEN('[4]9'!C31),'[4]9'!C31,"")</f>
        <v/>
      </c>
      <c r="D31" s="340"/>
      <c r="E31" s="340">
        <f>IF(LEN('[4]9'!E31),'[4]9'!E31,"")</f>
        <v>1971</v>
      </c>
      <c r="F31" s="340" t="str">
        <f>IF(LEN('[4]9'!F31),'[4]9'!F31,"")</f>
        <v>Sep</v>
      </c>
      <c r="G31" s="340" t="str">
        <f>IF(LEN('[4]9'!G31),'[4]9'!G31,"")</f>
        <v>Fern</v>
      </c>
      <c r="K31" s="2"/>
      <c r="M31" s="68"/>
    </row>
    <row r="32" spans="1:13" x14ac:dyDescent="0.2">
      <c r="A32" s="340">
        <f>IF(LEN('[4]9'!A32),'[4]9'!A32,"")</f>
        <v>1895</v>
      </c>
      <c r="B32" s="340" t="str">
        <f>IF(LEN('[4]9'!B32),'[4]9'!B32,"")</f>
        <v>Aug</v>
      </c>
      <c r="C32" s="340" t="str">
        <f>IF(LEN('[4]9'!C32),'[4]9'!C32,"")</f>
        <v/>
      </c>
      <c r="D32" s="340"/>
      <c r="E32" s="340">
        <f>IF(LEN('[4]9'!E32),'[4]9'!E32,"")</f>
        <v>1980</v>
      </c>
      <c r="F32" s="340" t="str">
        <f>IF(LEN('[4]9'!F32),'[4]9'!F32,"")</f>
        <v>Aug</v>
      </c>
      <c r="G32" s="340" t="str">
        <f>IF(LEN('[4]9'!G32),'[4]9'!G32,"")</f>
        <v>Allen</v>
      </c>
      <c r="K32" s="2"/>
      <c r="M32" s="68"/>
    </row>
    <row r="33" spans="1:13" x14ac:dyDescent="0.2">
      <c r="A33" s="340">
        <f>IF(LEN('[4]9'!A33),'[4]9'!A33,"")</f>
        <v>1897</v>
      </c>
      <c r="B33" s="340" t="str">
        <f>IF(LEN('[4]9'!B33),'[4]9'!B33,"")</f>
        <v>Sep</v>
      </c>
      <c r="C33" s="340" t="str">
        <f>IF(LEN('[4]9'!C33),'[4]9'!C33,"")</f>
        <v/>
      </c>
      <c r="D33" s="340"/>
      <c r="E33" s="340">
        <f>IF(LEN('[4]9'!E33),'[4]9'!E33,"")</f>
        <v>1983</v>
      </c>
      <c r="F33" s="340" t="str">
        <f>IF(LEN('[4]9'!F33),'[4]9'!F33,"")</f>
        <v>Aug</v>
      </c>
      <c r="G33" s="340" t="str">
        <f>IF(LEN('[4]9'!G33),'[4]9'!G33,"")</f>
        <v>Alicia</v>
      </c>
      <c r="K33" s="2"/>
      <c r="M33" s="68"/>
    </row>
    <row r="34" spans="1:13" x14ac:dyDescent="0.2">
      <c r="A34" s="340">
        <f>IF(LEN('[4]9'!A34),'[4]9'!A34,"")</f>
        <v>1900</v>
      </c>
      <c r="B34" s="340" t="str">
        <f>IF(LEN('[4]9'!B34),'[4]9'!B34,"")</f>
        <v>Sep</v>
      </c>
      <c r="C34" s="340" t="str">
        <f>IF(LEN('[4]9'!C34),'[4]9'!C34,"")</f>
        <v>“Galveston”</v>
      </c>
      <c r="D34" s="340"/>
      <c r="E34" s="340">
        <f>IF(LEN('[4]9'!E34),'[4]9'!E34,"")</f>
        <v>1986</v>
      </c>
      <c r="F34" s="340" t="str">
        <f>IF(LEN('[4]9'!F34),'[4]9'!F34,"")</f>
        <v>Jun</v>
      </c>
      <c r="G34" s="340" t="str">
        <f>IF(LEN('[4]9'!G34),'[4]9'!G34,"")</f>
        <v>Bonnie</v>
      </c>
      <c r="K34" s="2"/>
      <c r="M34" s="68"/>
    </row>
    <row r="35" spans="1:13" x14ac:dyDescent="0.2">
      <c r="A35" s="340">
        <f>IF(LEN('[4]9'!A35),'[4]9'!A35,"")</f>
        <v>1909</v>
      </c>
      <c r="B35" s="340" t="str">
        <f>IF(LEN('[4]9'!B35),'[4]9'!B35,"")</f>
        <v>Jun</v>
      </c>
      <c r="C35" s="340" t="str">
        <f>IF(LEN('[4]9'!C35),'[4]9'!C35,"")</f>
        <v/>
      </c>
      <c r="D35" s="340"/>
      <c r="E35" s="340">
        <f>IF(LEN('[4]9'!E35),'[4]9'!E35,"")</f>
        <v>1989</v>
      </c>
      <c r="F35" s="340" t="str">
        <f>IF(LEN('[4]9'!F35),'[4]9'!F35,"")</f>
        <v>Aug</v>
      </c>
      <c r="G35" s="340" t="str">
        <f>IF(LEN('[4]9'!G35),'[4]9'!G35,"")</f>
        <v>Chantal</v>
      </c>
      <c r="K35" s="2"/>
      <c r="M35" s="68"/>
    </row>
    <row r="36" spans="1:13" x14ac:dyDescent="0.2">
      <c r="A36" s="340">
        <f>IF(LEN('[4]9'!A36),'[4]9'!A36,"")</f>
        <v>1909</v>
      </c>
      <c r="B36" s="340" t="str">
        <f>IF(LEN('[4]9'!B36),'[4]9'!B36,"")</f>
        <v>Jul</v>
      </c>
      <c r="C36" s="340" t="str">
        <f>IF(LEN('[4]9'!C36),'[4]9'!C36,"")</f>
        <v>“Velasco”</v>
      </c>
      <c r="D36" s="340"/>
      <c r="E36" s="340">
        <f>IF(LEN('[4]9'!E36),'[4]9'!E36,"")</f>
        <v>1989</v>
      </c>
      <c r="F36" s="340" t="str">
        <f>IF(LEN('[4]9'!F36),'[4]9'!F36,"")</f>
        <v>Oct</v>
      </c>
      <c r="G36" s="340" t="str">
        <f>IF(LEN('[4]9'!G36),'[4]9'!G36,"")</f>
        <v>Jerry</v>
      </c>
      <c r="K36" s="2"/>
      <c r="M36" s="68"/>
    </row>
    <row r="37" spans="1:13" x14ac:dyDescent="0.2">
      <c r="A37" s="340">
        <f>IF(LEN('[4]9'!A37),'[4]9'!A37,"")</f>
        <v>1909</v>
      </c>
      <c r="B37" s="340" t="str">
        <f>IF(LEN('[4]9'!B37),'[4]9'!B37,"")</f>
        <v>Aug</v>
      </c>
      <c r="C37" s="340" t="str">
        <f>IF(LEN('[4]9'!C37),'[4]9'!C37,"")</f>
        <v/>
      </c>
      <c r="D37" s="340"/>
      <c r="E37" s="340">
        <f>IF(LEN('[4]9'!E37),'[4]9'!E37,"")</f>
        <v>1999</v>
      </c>
      <c r="F37" s="340" t="str">
        <f>IF(LEN('[4]9'!F37),'[4]9'!F37,"")</f>
        <v>Aug</v>
      </c>
      <c r="G37" s="340" t="str">
        <f>IF(LEN('[4]9'!G37),'[4]9'!G37,"")</f>
        <v>Bret</v>
      </c>
      <c r="K37" s="2"/>
      <c r="M37" s="68"/>
    </row>
    <row r="38" spans="1:13" x14ac:dyDescent="0.2">
      <c r="A38" s="340">
        <f>IF(LEN('[4]9'!A38),'[4]9'!A38,"")</f>
        <v>1910</v>
      </c>
      <c r="B38" s="340" t="str">
        <f>IF(LEN('[4]9'!B38),'[4]9'!B38,"")</f>
        <v>Sep</v>
      </c>
      <c r="C38" s="340" t="str">
        <f>IF(LEN('[4]9'!C38),'[4]9'!C38,"")</f>
        <v/>
      </c>
      <c r="D38" s="340"/>
      <c r="E38" s="340">
        <f>IF(LEN('[4]9'!E38),'[4]9'!E38,"")</f>
        <v>2003</v>
      </c>
      <c r="F38" s="340" t="str">
        <f>IF(LEN('[4]9'!F38),'[4]9'!F38,"")</f>
        <v>Jul</v>
      </c>
      <c r="G38" s="340" t="str">
        <f>IF(LEN('[4]9'!G38),'[4]9'!G38,"")</f>
        <v>Claudette</v>
      </c>
      <c r="K38" s="2"/>
      <c r="M38" s="68"/>
    </row>
    <row r="39" spans="1:13" x14ac:dyDescent="0.2">
      <c r="A39" s="340">
        <f>IF(LEN('[4]9'!A39),'[4]9'!A39,"")</f>
        <v>1912</v>
      </c>
      <c r="B39" s="340" t="str">
        <f>IF(LEN('[4]9'!B39),'[4]9'!B39,"")</f>
        <v>Oct</v>
      </c>
      <c r="C39" s="340" t="str">
        <f>IF(LEN('[4]9'!C39),'[4]9'!C39,"")</f>
        <v/>
      </c>
      <c r="D39" s="345"/>
      <c r="E39" s="340">
        <f>IF(LEN('[4]9'!E39),'[4]9'!E39,"")</f>
        <v>2005</v>
      </c>
      <c r="F39" s="340" t="str">
        <f>IF(LEN('[4]9'!F39),'[4]9'!F39,"")</f>
        <v>Sep</v>
      </c>
      <c r="G39" s="340" t="str">
        <f>IF(LEN('[4]9'!G39),'[4]9'!G39,"")</f>
        <v>Rita</v>
      </c>
      <c r="H39" s="45"/>
      <c r="I39" s="45"/>
      <c r="J39" s="59"/>
      <c r="K39" s="2"/>
      <c r="M39" s="68"/>
    </row>
    <row r="40" spans="1:13" x14ac:dyDescent="0.2">
      <c r="A40" s="340">
        <f>IF(LEN('[4]9'!A40),'[4]9'!A40,"")</f>
        <v>1913</v>
      </c>
      <c r="B40" s="340" t="str">
        <f>IF(LEN('[4]9'!B40),'[4]9'!B40,"")</f>
        <v>Jun</v>
      </c>
      <c r="C40" s="340" t="str">
        <f>IF(LEN('[4]9'!C40),'[4]9'!C40,"")</f>
        <v/>
      </c>
      <c r="D40" s="346"/>
      <c r="E40" s="340">
        <f>IF(LEN('[4]9'!E40),'[4]9'!E40,"")</f>
        <v>2007</v>
      </c>
      <c r="F40" s="340" t="str">
        <f>IF(LEN('[4]9'!F40),'[4]9'!F40,"")</f>
        <v>Sep</v>
      </c>
      <c r="G40" s="340" t="str">
        <f>IF(LEN('[4]9'!G40),'[4]9'!G40,"")</f>
        <v>Humberto</v>
      </c>
      <c r="H40" s="59"/>
      <c r="I40" s="59"/>
      <c r="J40" s="59"/>
      <c r="K40" s="2"/>
      <c r="M40" s="68"/>
    </row>
    <row r="41" spans="1:13" x14ac:dyDescent="0.2">
      <c r="A41" s="340">
        <f>IF(LEN('[4]9'!A41),'[4]9'!A41,"")</f>
        <v>1915</v>
      </c>
      <c r="B41" s="340" t="str">
        <f>IF(LEN('[4]9'!B41),'[4]9'!B41,"")</f>
        <v>Aug</v>
      </c>
      <c r="C41" s="340" t="str">
        <f>IF(LEN('[4]9'!C41),'[4]9'!C41,"")</f>
        <v>“Galveston”</v>
      </c>
      <c r="D41" s="340"/>
      <c r="E41" s="340">
        <f>IF(LEN('[4]9'!E41),'[4]9'!E41,"")</f>
        <v>2008</v>
      </c>
      <c r="F41" s="340" t="str">
        <f>IF(LEN('[4]9'!F41),'[4]9'!F41,"")</f>
        <v>Jul</v>
      </c>
      <c r="G41" s="340" t="str">
        <f>IF(LEN('[4]9'!G41),'[4]9'!G41,"")</f>
        <v>Dolly</v>
      </c>
      <c r="K41" s="2"/>
      <c r="M41" s="68"/>
    </row>
    <row r="42" spans="1:13" s="59" customFormat="1" x14ac:dyDescent="0.2">
      <c r="A42" s="340">
        <f>IF(LEN('[4]9'!A42),'[4]9'!A42,"")</f>
        <v>1916</v>
      </c>
      <c r="B42" s="340" t="str">
        <f>IF(LEN('[4]9'!B42),'[4]9'!B42,"")</f>
        <v>Aug</v>
      </c>
      <c r="C42" s="340" t="str">
        <f>IF(LEN('[4]9'!C42),'[4]9'!C42,"")</f>
        <v/>
      </c>
      <c r="D42" s="340"/>
      <c r="E42" s="340">
        <f>IF(LEN('[4]9'!E42),'[4]9'!E42,"")</f>
        <v>2008</v>
      </c>
      <c r="F42" s="340" t="str">
        <f>IF(LEN('[4]9'!F42),'[4]9'!F42,"")</f>
        <v>Sep</v>
      </c>
      <c r="G42" s="340" t="str">
        <f>IF(LEN('[4]9'!G42),'[4]9'!G42,"")</f>
        <v>Ike</v>
      </c>
      <c r="H42"/>
      <c r="I42"/>
      <c r="J42"/>
      <c r="K42" s="2"/>
      <c r="M42" s="74"/>
    </row>
    <row r="43" spans="1:13" s="59" customFormat="1" x14ac:dyDescent="0.2">
      <c r="A43" s="340">
        <f>IF(LEN('[4]9'!A43),'[4]9'!A43,"")</f>
        <v>1919</v>
      </c>
      <c r="B43" s="340" t="str">
        <f>IF(LEN('[4]9'!B43),'[4]9'!B43,"")</f>
        <v>Sep</v>
      </c>
      <c r="C43" s="340" t="str">
        <f>IF(LEN('[4]9'!C43),'[4]9'!C43,"")</f>
        <v/>
      </c>
      <c r="D43" s="340"/>
      <c r="E43" s="340">
        <f>IF(LEN('[4]9'!E43),'[4]9'!E43,"")</f>
        <v>2017</v>
      </c>
      <c r="F43" s="340" t="str">
        <f>IF(LEN('[4]9'!F43),'[4]9'!F43,"")</f>
        <v>Aug</v>
      </c>
      <c r="G43" s="340" t="str">
        <f>IF(LEN('[4]9'!G43),'[4]9'!G43,"")</f>
        <v>Harvey</v>
      </c>
      <c r="H43"/>
      <c r="I43"/>
      <c r="J43"/>
      <c r="K43" s="2"/>
      <c r="M43" s="74"/>
    </row>
    <row r="44" spans="1:13" x14ac:dyDescent="0.2">
      <c r="A44" s="340">
        <f>IF(LEN('[4]9'!A44),'[4]9'!A44,"")</f>
        <v>1921</v>
      </c>
      <c r="B44" s="340" t="str">
        <f>IF(LEN('[4]9'!B44),'[4]9'!B44,"")</f>
        <v>Jun</v>
      </c>
      <c r="C44" s="340" t="str">
        <f>IF(LEN('[4]9'!C44),'[4]9'!C44,"")</f>
        <v/>
      </c>
      <c r="D44" s="340"/>
      <c r="E44" s="340">
        <f>IF(LEN('[4]9'!E44),'[4]9'!E44,"")</f>
        <v>2020</v>
      </c>
      <c r="F44" s="340" t="str">
        <f>IF(LEN('[4]9'!F44),'[4]9'!F44,"")</f>
        <v>Jul</v>
      </c>
      <c r="G44" s="340" t="str">
        <f>IF(LEN('[4]9'!G44),'[4]9'!G44,"")</f>
        <v>Hanna</v>
      </c>
      <c r="K44" s="2"/>
      <c r="M44" s="68"/>
    </row>
    <row r="45" spans="1:13" x14ac:dyDescent="0.2">
      <c r="A45" s="340">
        <f>IF(LEN('[4]9'!A45),'[4]9'!A45,"")</f>
        <v>1929</v>
      </c>
      <c r="B45" s="340" t="str">
        <f>IF(LEN('[4]9'!B45),'[4]9'!B45,"")</f>
        <v>Jun</v>
      </c>
      <c r="C45" s="340" t="str">
        <f>IF(LEN('[4]9'!C45),'[4]9'!C45,"")</f>
        <v/>
      </c>
      <c r="D45" s="340"/>
      <c r="E45" s="340">
        <f>IF(LEN('[4]9'!E45),'[4]9'!E45,"")</f>
        <v>2020</v>
      </c>
      <c r="F45" s="340" t="str">
        <f>IF(LEN('[4]9'!F45),'[4]9'!F45,"")</f>
        <v>Aug</v>
      </c>
      <c r="G45" s="340" t="str">
        <f>IF(LEN('[4]9'!G45),'[4]9'!G45,"")</f>
        <v>Laura</v>
      </c>
      <c r="K45" s="2"/>
      <c r="M45" s="68"/>
    </row>
    <row r="46" spans="1:13" x14ac:dyDescent="0.2">
      <c r="A46" s="340">
        <f>IF(LEN('[4]9'!A46),'[4]9'!A46,"")</f>
        <v>1932</v>
      </c>
      <c r="B46" s="340" t="str">
        <f>IF(LEN('[4]9'!B46),'[4]9'!B46,"")</f>
        <v>Aug</v>
      </c>
      <c r="C46" s="340" t="str">
        <f>IF(LEN('[4]9'!C46),'[4]9'!C46,"")</f>
        <v>“Freeport”</v>
      </c>
      <c r="D46" s="340"/>
      <c r="E46" s="340">
        <f>IF(LEN('[4]9'!E46),'[4]9'!E46,"")</f>
        <v>2020</v>
      </c>
      <c r="F46" s="340" t="str">
        <f>IF(LEN('[4]9'!F46),'[4]9'!F46,"")</f>
        <v>Oct</v>
      </c>
      <c r="G46" s="340" t="str">
        <f>IF(LEN('[4]9'!G46),'[4]9'!G46,"")</f>
        <v>Delta</v>
      </c>
      <c r="K46" s="2"/>
      <c r="M46" s="68"/>
    </row>
    <row r="47" spans="1:13" x14ac:dyDescent="0.2">
      <c r="A47" s="340">
        <f>IF(LEN('[4]9'!A47),'[4]9'!A47,"")</f>
        <v>1933</v>
      </c>
      <c r="B47" s="340" t="str">
        <f>IF(LEN('[4]9'!B47),'[4]9'!B47,"")</f>
        <v>Aug</v>
      </c>
      <c r="C47" s="340" t="str">
        <f>IF(LEN('[4]9'!C47),'[4]9'!C47,"")</f>
        <v/>
      </c>
      <c r="D47" s="340"/>
      <c r="E47" s="340">
        <f>IF(LEN('[4]9'!E47),'[4]9'!E47,"")</f>
        <v>2021</v>
      </c>
      <c r="F47" s="340" t="str">
        <f>IF(LEN('[4]9'!F47),'[4]9'!F47,"")</f>
        <v>Sep</v>
      </c>
      <c r="G47" s="340" t="str">
        <f>IF(LEN('[4]9'!G47),'[4]9'!G47,"")</f>
        <v>Nicholas</v>
      </c>
      <c r="K47" s="2"/>
      <c r="M47" s="68"/>
    </row>
    <row r="48" spans="1:13" x14ac:dyDescent="0.2">
      <c r="A48" s="118"/>
      <c r="B48" s="118"/>
      <c r="C48" s="118"/>
      <c r="E48" s="118"/>
      <c r="F48" s="118"/>
      <c r="G48" s="118"/>
      <c r="K48" s="2"/>
      <c r="M48" s="68"/>
    </row>
    <row r="49" spans="1:13" x14ac:dyDescent="0.2">
      <c r="A49" s="9"/>
      <c r="B49" s="9"/>
      <c r="C49" s="9"/>
      <c r="D49" s="9"/>
      <c r="E49" s="173"/>
      <c r="F49" s="173"/>
      <c r="G49" s="173"/>
      <c r="H49" s="50"/>
      <c r="K49" s="2"/>
      <c r="M49" s="68"/>
    </row>
    <row r="50" spans="1:13" x14ac:dyDescent="0.2">
      <c r="B50" s="60"/>
      <c r="C50" s="60"/>
      <c r="D50" s="60"/>
      <c r="E50" s="60"/>
      <c r="F50" s="23"/>
      <c r="K50" s="2"/>
    </row>
    <row r="51" spans="1:13" x14ac:dyDescent="0.2">
      <c r="A51" s="69" t="s">
        <v>176</v>
      </c>
      <c r="B51" s="69"/>
      <c r="C51" s="70" t="s">
        <v>177</v>
      </c>
      <c r="D51" s="70" t="s">
        <v>178</v>
      </c>
      <c r="E51" s="70" t="s">
        <v>233</v>
      </c>
      <c r="F51" s="70" t="s">
        <v>179</v>
      </c>
      <c r="G51" s="70"/>
      <c r="K51" s="2"/>
    </row>
    <row r="52" spans="1:13" x14ac:dyDescent="0.2">
      <c r="A52" s="149"/>
      <c r="C52" s="62"/>
      <c r="D52" s="62"/>
      <c r="E52" s="62"/>
      <c r="F52" s="62"/>
      <c r="K52" s="2"/>
    </row>
    <row r="53" spans="1:13" x14ac:dyDescent="0.2">
      <c r="A53" s="72" t="str">
        <f>E53&amp;"-Year"</f>
        <v>56-Year</v>
      </c>
      <c r="C53" s="60" t="str">
        <f>TEXT(DATE(YEAR(M4)-E53,MONTH(M4)+1,1),"m/d/yyyy")&amp;" - "&amp;TEXT(M4,"m/d/yyyy")</f>
        <v>1/1/1966 - 12/31/2021</v>
      </c>
      <c r="D53" s="71">
        <f>SUM(COUNTIF($A$14:$A$47,"&gt;=1970"),COUNTIF($E$14:$E$47,"&gt;=1966"))</f>
        <v>19</v>
      </c>
      <c r="E53" s="71">
        <f>'6.1'!$N$5</f>
        <v>56</v>
      </c>
      <c r="G53" s="174">
        <f>ROUND(D53/E53,3)</f>
        <v>0.33900000000000002</v>
      </c>
      <c r="K53" s="2"/>
    </row>
    <row r="54" spans="1:13" x14ac:dyDescent="0.2">
      <c r="A54" s="72" t="str">
        <f>E54&amp;"-Year"</f>
        <v>171-Year</v>
      </c>
      <c r="C54" s="12" t="str">
        <f>MONTH(M4+1)&amp;"/1/"&amp;YEAR(M4+1)-E54&amp;" - "&amp;TEXT(M4,"m/d/yyyy")</f>
        <v>1/1/1851 - 12/31/2021</v>
      </c>
      <c r="D54" s="73">
        <f>SUM(COUNTA(A14:A47),COUNTA(E14:E47))</f>
        <v>68</v>
      </c>
      <c r="E54" s="150">
        <f>YEAR($M$4)-$L$4</f>
        <v>171</v>
      </c>
      <c r="G54" s="174">
        <f>ROUND(D54/E54,3)</f>
        <v>0.39800000000000002</v>
      </c>
      <c r="K54" s="2"/>
    </row>
    <row r="55" spans="1:13" ht="10.5" thickBot="1" x14ac:dyDescent="0.25">
      <c r="A55" s="6"/>
      <c r="B55" s="6"/>
      <c r="C55" s="6"/>
      <c r="D55" s="6"/>
      <c r="E55" s="6"/>
      <c r="F55" s="6"/>
      <c r="G55" s="6"/>
      <c r="K55" s="2"/>
    </row>
    <row r="56" spans="1:13" ht="10.5" thickTop="1" x14ac:dyDescent="0.2">
      <c r="A56" s="50"/>
      <c r="B56" s="50"/>
      <c r="C56" s="50"/>
      <c r="D56" s="50"/>
      <c r="E56" s="50"/>
      <c r="K56" s="2"/>
    </row>
    <row r="57" spans="1:13" x14ac:dyDescent="0.2">
      <c r="A57" s="50" t="s">
        <v>17</v>
      </c>
      <c r="B57" s="50"/>
      <c r="K57" s="2"/>
      <c r="M57" s="68"/>
    </row>
    <row r="58" spans="1:13" x14ac:dyDescent="0.2">
      <c r="A58" s="50"/>
      <c r="B58" s="258" t="str">
        <f>'[4]9'!$B$58</f>
        <v>(1), (2) from NOAA Technical Memorandum NWS-NHC-6, updated with actual experience through 2021</v>
      </c>
      <c r="K58" s="2"/>
      <c r="M58" s="68"/>
    </row>
    <row r="59" spans="1:13" x14ac:dyDescent="0.2">
      <c r="K59" s="2"/>
      <c r="M59" s="68"/>
    </row>
    <row r="60" spans="1:13" x14ac:dyDescent="0.2">
      <c r="K60" s="2"/>
      <c r="M60" s="68"/>
    </row>
    <row r="61" spans="1:13" s="59" customFormat="1" x14ac:dyDescent="0.2">
      <c r="A61"/>
      <c r="B61"/>
      <c r="C61"/>
      <c r="D61"/>
      <c r="K61" s="2"/>
      <c r="M61" s="74"/>
    </row>
    <row r="62" spans="1:13" s="59" customFormat="1" x14ac:dyDescent="0.2">
      <c r="A62"/>
      <c r="B62"/>
      <c r="C62"/>
      <c r="K62" s="2"/>
      <c r="M62" s="74"/>
    </row>
    <row r="63" spans="1:13" s="59" customFormat="1" x14ac:dyDescent="0.2">
      <c r="A63"/>
      <c r="B63"/>
      <c r="C63"/>
      <c r="D63" s="45"/>
      <c r="E63" s="45"/>
      <c r="F63" s="45"/>
      <c r="G63" s="45"/>
      <c r="H63" s="45"/>
      <c r="I63" s="45"/>
      <c r="K63" s="2"/>
      <c r="M63" s="74"/>
    </row>
    <row r="64" spans="1:13" s="59" customFormat="1" x14ac:dyDescent="0.2">
      <c r="A64"/>
      <c r="B64"/>
      <c r="C64"/>
      <c r="D64" s="29"/>
      <c r="E64" s="29"/>
      <c r="F64" s="29"/>
      <c r="G64" s="29"/>
      <c r="H64" s="29"/>
      <c r="I64" s="29"/>
      <c r="K64" s="2"/>
    </row>
    <row r="65" spans="1:11" s="59" customFormat="1" x14ac:dyDescent="0.2">
      <c r="A65"/>
      <c r="B65"/>
      <c r="C65"/>
      <c r="F65" s="33"/>
      <c r="G65" s="33"/>
      <c r="H65" s="33"/>
      <c r="I65" s="33"/>
      <c r="K65" s="2"/>
    </row>
    <row r="66" spans="1:11" s="59" customFormat="1" x14ac:dyDescent="0.2">
      <c r="A66"/>
      <c r="B66"/>
      <c r="C66"/>
      <c r="F66" s="33"/>
      <c r="G66" s="33"/>
      <c r="H66" s="33"/>
      <c r="I66" s="33"/>
      <c r="K66" s="2"/>
    </row>
    <row r="67" spans="1:11" x14ac:dyDescent="0.2">
      <c r="C67" s="38"/>
      <c r="D67" s="38"/>
      <c r="E67" s="38"/>
      <c r="F67" s="23"/>
      <c r="K67" s="2"/>
    </row>
    <row r="68" spans="1:11" x14ac:dyDescent="0.2">
      <c r="A68" s="50"/>
      <c r="B68" s="50"/>
      <c r="C68" s="50"/>
      <c r="D68" s="50"/>
      <c r="E68" s="50"/>
      <c r="K68" s="2"/>
    </row>
    <row r="69" spans="1:11" x14ac:dyDescent="0.2">
      <c r="A69" s="50"/>
      <c r="B69" s="50"/>
      <c r="C69" s="50"/>
      <c r="D69" s="50"/>
      <c r="E69" s="50"/>
      <c r="K69" s="2"/>
    </row>
    <row r="70" spans="1:11" x14ac:dyDescent="0.2">
      <c r="A70" s="50"/>
      <c r="B70" s="50"/>
      <c r="C70" s="50"/>
      <c r="D70" s="50"/>
      <c r="E70" s="50"/>
      <c r="K70" s="2"/>
    </row>
    <row r="71" spans="1:11" ht="10.5" thickBot="1" x14ac:dyDescent="0.25">
      <c r="A71" s="50"/>
      <c r="B71" s="50"/>
      <c r="C71" s="50"/>
      <c r="D71" s="50"/>
      <c r="E71" s="50"/>
      <c r="K71" s="2"/>
    </row>
    <row r="72" spans="1:11" ht="10.5" thickBot="1" x14ac:dyDescent="0.25">
      <c r="A72" s="4"/>
      <c r="B72" s="5"/>
      <c r="C72" s="5"/>
      <c r="D72" s="5"/>
      <c r="E72" s="5"/>
      <c r="F72" s="5"/>
      <c r="G72" s="5"/>
      <c r="H72" s="5"/>
      <c r="I72" s="5"/>
      <c r="J72" s="5"/>
      <c r="K72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1">
    <tabColor rgb="FF92D050"/>
  </sheetPr>
  <dimension ref="A1:P67"/>
  <sheetViews>
    <sheetView showGridLines="0" topLeftCell="A19" workbookViewId="0">
      <selection activeCell="C14" sqref="C14"/>
    </sheetView>
  </sheetViews>
  <sheetFormatPr defaultColWidth="11.33203125" defaultRowHeight="10" x14ac:dyDescent="0.2"/>
  <cols>
    <col min="1" max="1" width="6.33203125" bestFit="1" customWidth="1"/>
    <col min="2" max="2" width="11.33203125" customWidth="1"/>
    <col min="3" max="5" width="15.33203125" customWidth="1"/>
    <col min="6" max="9" width="11.33203125" customWidth="1"/>
    <col min="10" max="10" width="12.109375" customWidth="1"/>
  </cols>
  <sheetData>
    <row r="1" spans="1:16" ht="10.5" x14ac:dyDescent="0.25">
      <c r="A1" s="8" t="str">
        <f>'1'!$A$1</f>
        <v>Texas Windstorm Insurance Association</v>
      </c>
      <c r="B1" s="12"/>
      <c r="J1" s="7" t="s">
        <v>174</v>
      </c>
      <c r="K1" s="1"/>
      <c r="O1" t="s">
        <v>428</v>
      </c>
      <c r="P1" t="s">
        <v>476</v>
      </c>
    </row>
    <row r="2" spans="1:16" ht="10.5" x14ac:dyDescent="0.25">
      <c r="A2" s="8" t="str">
        <f>'1'!$A$2</f>
        <v>Residential Property - Wind &amp; Hail</v>
      </c>
      <c r="B2" s="12"/>
      <c r="J2" s="7" t="s">
        <v>181</v>
      </c>
      <c r="K2" s="2"/>
    </row>
    <row r="3" spans="1:16" ht="10.5" x14ac:dyDescent="0.25">
      <c r="A3" s="8" t="str">
        <f>'1'!$A$3</f>
        <v>Rate Level Review</v>
      </c>
      <c r="B3" s="12"/>
      <c r="K3" s="2"/>
    </row>
    <row r="4" spans="1:16" x14ac:dyDescent="0.2">
      <c r="A4" t="s">
        <v>186</v>
      </c>
      <c r="B4" s="12"/>
      <c r="K4" s="2"/>
    </row>
    <row r="5" spans="1:16" x14ac:dyDescent="0.2">
      <c r="A5" t="s">
        <v>31</v>
      </c>
      <c r="B5" s="12"/>
      <c r="K5" s="2"/>
    </row>
    <row r="6" spans="1:16" x14ac:dyDescent="0.2">
      <c r="K6" s="2"/>
    </row>
    <row r="7" spans="1:16" ht="10.5" thickBot="1" x14ac:dyDescent="0.25">
      <c r="A7" s="6"/>
      <c r="B7" s="6"/>
      <c r="C7" s="6"/>
      <c r="D7" s="6"/>
      <c r="E7" s="6"/>
      <c r="K7" s="2"/>
    </row>
    <row r="8" spans="1:16" ht="10.5" thickTop="1" x14ac:dyDescent="0.2">
      <c r="K8" s="2"/>
    </row>
    <row r="9" spans="1:16" x14ac:dyDescent="0.2">
      <c r="C9" s="22"/>
      <c r="D9" t="s">
        <v>37</v>
      </c>
      <c r="E9" t="s">
        <v>44</v>
      </c>
      <c r="K9" s="2"/>
      <c r="L9" s="27"/>
    </row>
    <row r="10" spans="1:16" x14ac:dyDescent="0.2">
      <c r="C10" t="s">
        <v>321</v>
      </c>
      <c r="D10" t="s">
        <v>323</v>
      </c>
      <c r="E10" t="s">
        <v>42</v>
      </c>
      <c r="K10" s="2"/>
    </row>
    <row r="11" spans="1:16" x14ac:dyDescent="0.2">
      <c r="A11" s="9" t="s">
        <v>54</v>
      </c>
      <c r="B11" s="9"/>
      <c r="C11" s="9" t="s">
        <v>44</v>
      </c>
      <c r="D11" s="26" t="s">
        <v>137</v>
      </c>
      <c r="E11" s="9" t="s">
        <v>137</v>
      </c>
      <c r="K11" s="2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6" x14ac:dyDescent="0.2">
      <c r="K13" s="2"/>
    </row>
    <row r="14" spans="1:16" x14ac:dyDescent="0.2">
      <c r="A14" t="str">
        <f t="shared" ref="A14:A20" si="0">TEXT(A15-1,"#")</f>
        <v>2012</v>
      </c>
      <c r="B14" s="25"/>
      <c r="C14" s="334">
        <f>'[3]TICO 2'!O26</f>
        <v>98605959</v>
      </c>
      <c r="D14" s="201">
        <f>'10.1d'!D14</f>
        <v>1.3727418575616306</v>
      </c>
      <c r="E14" s="31">
        <f t="shared" ref="E14:E22" si="1">ROUND(C14*D14,0)</f>
        <v>135360527</v>
      </c>
      <c r="K14" s="2"/>
      <c r="L14" s="35"/>
    </row>
    <row r="15" spans="1:16" x14ac:dyDescent="0.2">
      <c r="A15" t="str">
        <f t="shared" si="0"/>
        <v>2013</v>
      </c>
      <c r="B15" s="25"/>
      <c r="C15" s="334">
        <f>'[3]TICO 2'!O27</f>
        <v>105941027</v>
      </c>
      <c r="D15" s="201">
        <f>'10.1d'!D15</f>
        <v>1.3075493593415155</v>
      </c>
      <c r="E15" s="31">
        <f t="shared" si="1"/>
        <v>138523122</v>
      </c>
      <c r="K15" s="2"/>
      <c r="L15" s="35"/>
    </row>
    <row r="16" spans="1:16" x14ac:dyDescent="0.2">
      <c r="A16" t="str">
        <f t="shared" si="0"/>
        <v>2014</v>
      </c>
      <c r="B16" s="25"/>
      <c r="C16" s="334">
        <f>'[3]TICO 2'!O28</f>
        <v>113521698</v>
      </c>
      <c r="D16" s="201">
        <f>'10.1d'!D16</f>
        <v>1.2455465141622073</v>
      </c>
      <c r="E16" s="31">
        <f t="shared" si="1"/>
        <v>141396555</v>
      </c>
      <c r="K16" s="2"/>
      <c r="L16" s="35"/>
    </row>
    <row r="17" spans="1:12" x14ac:dyDescent="0.2">
      <c r="A17" t="str">
        <f t="shared" si="0"/>
        <v>2015</v>
      </c>
      <c r="B17" s="25"/>
      <c r="C17" s="334">
        <f>'[3]TICO 2'!O29</f>
        <v>121221015</v>
      </c>
      <c r="D17" s="201">
        <f>'10.1d'!D17</f>
        <v>1.1864644900727379</v>
      </c>
      <c r="E17" s="31">
        <f t="shared" si="1"/>
        <v>143824430</v>
      </c>
      <c r="K17" s="2"/>
      <c r="L17" s="35"/>
    </row>
    <row r="18" spans="1:12" x14ac:dyDescent="0.2">
      <c r="A18" t="str">
        <f t="shared" si="0"/>
        <v>2016</v>
      </c>
      <c r="B18" s="25"/>
      <c r="C18" s="334">
        <f>'[3]TICO 2'!O30</f>
        <v>123942872</v>
      </c>
      <c r="D18" s="201">
        <f>'10.1d'!D18</f>
        <v>1.1303877408726286</v>
      </c>
      <c r="E18" s="31">
        <f t="shared" si="1"/>
        <v>140103503</v>
      </c>
      <c r="K18" s="2"/>
      <c r="L18" s="35"/>
    </row>
    <row r="19" spans="1:12" x14ac:dyDescent="0.2">
      <c r="A19" t="str">
        <f t="shared" si="0"/>
        <v>2017</v>
      </c>
      <c r="B19" s="25"/>
      <c r="C19" s="334">
        <f>'[3]TICO 2'!O31</f>
        <v>120650271</v>
      </c>
      <c r="D19" s="201">
        <f>'10.1d'!D19</f>
        <v>1.1025000000000003</v>
      </c>
      <c r="E19" s="31">
        <f t="shared" si="1"/>
        <v>133016924</v>
      </c>
      <c r="K19" s="2"/>
      <c r="L19" s="35"/>
    </row>
    <row r="20" spans="1:12" x14ac:dyDescent="0.2">
      <c r="A20" t="str">
        <f t="shared" si="0"/>
        <v>2018</v>
      </c>
      <c r="B20" s="25"/>
      <c r="C20" s="334">
        <f>'[3]TICO 2'!O32</f>
        <v>112717188</v>
      </c>
      <c r="D20" s="201">
        <f>'10.1d'!D20</f>
        <v>1.0768211446107889</v>
      </c>
      <c r="E20" s="31">
        <f t="shared" si="1"/>
        <v>121376251</v>
      </c>
      <c r="K20" s="2"/>
      <c r="L20" s="35" t="s">
        <v>216</v>
      </c>
    </row>
    <row r="21" spans="1:12" x14ac:dyDescent="0.2">
      <c r="A21" t="str">
        <f>TEXT(A22-1,"#")</f>
        <v>2019</v>
      </c>
      <c r="B21" s="25"/>
      <c r="C21" s="334">
        <f>'[3]TICO 2'!O33</f>
        <v>109182096</v>
      </c>
      <c r="D21" s="201">
        <f>'10.1d'!D21</f>
        <v>1.0499999999999947</v>
      </c>
      <c r="E21" s="31">
        <f t="shared" si="1"/>
        <v>114641201</v>
      </c>
      <c r="K21" s="2"/>
      <c r="L21" s="83">
        <f>'[3]TICO 2'!$E$1</f>
        <v>44469</v>
      </c>
    </row>
    <row r="22" spans="1:12" x14ac:dyDescent="0.2">
      <c r="A22" t="str">
        <f>TEXT(A23-1,"#")</f>
        <v>2020</v>
      </c>
      <c r="B22" s="25"/>
      <c r="C22" s="334">
        <f>'[3]TICO 2'!O34</f>
        <v>108043628</v>
      </c>
      <c r="D22" s="201">
        <f>'10.1d'!D22</f>
        <v>1.0500000000000036</v>
      </c>
      <c r="E22" s="31">
        <f t="shared" si="1"/>
        <v>113445809</v>
      </c>
      <c r="K22" s="2"/>
    </row>
    <row r="23" spans="1:12" x14ac:dyDescent="0.2">
      <c r="A23" s="25" t="str">
        <f>TEXT(YEAR($L$21),"#")</f>
        <v>2021</v>
      </c>
      <c r="B23" s="25"/>
      <c r="C23" s="334">
        <f>'[3]TICO 2'!O35</f>
        <v>112324499</v>
      </c>
      <c r="D23" s="201">
        <f>'10.1d'!D23</f>
        <v>1.0500000000000056</v>
      </c>
      <c r="E23" s="31">
        <f t="shared" ref="E23" si="2">ROUND(C23*D23,0)</f>
        <v>117940724</v>
      </c>
      <c r="H23" s="19"/>
      <c r="K23" s="2"/>
    </row>
    <row r="24" spans="1:12" x14ac:dyDescent="0.2">
      <c r="A24" s="9"/>
      <c r="B24" s="26"/>
      <c r="C24" s="81"/>
      <c r="D24" s="37"/>
      <c r="E24" s="67"/>
      <c r="K24" s="2"/>
    </row>
    <row r="25" spans="1:12" x14ac:dyDescent="0.2">
      <c r="C25" s="19"/>
      <c r="K25" s="2"/>
    </row>
    <row r="26" spans="1:12" x14ac:dyDescent="0.2">
      <c r="A26" t="s">
        <v>9</v>
      </c>
      <c r="C26" s="19">
        <f>SUM(C14:C24)</f>
        <v>1126150253</v>
      </c>
      <c r="E26" s="19">
        <f>SUM(E14:E24)</f>
        <v>1299629046</v>
      </c>
      <c r="K26" s="2"/>
    </row>
    <row r="27" spans="1:12" ht="10.5" thickBot="1" x14ac:dyDescent="0.25">
      <c r="A27" s="6"/>
      <c r="B27" s="6"/>
      <c r="C27" s="6"/>
      <c r="D27" s="6"/>
      <c r="E27" s="6"/>
      <c r="K27" s="2"/>
    </row>
    <row r="28" spans="1:12" ht="10.5" thickTop="1" x14ac:dyDescent="0.2">
      <c r="K28" s="2"/>
    </row>
    <row r="29" spans="1:12" x14ac:dyDescent="0.2">
      <c r="A29" t="s">
        <v>17</v>
      </c>
      <c r="K29" s="2"/>
    </row>
    <row r="30" spans="1:12" x14ac:dyDescent="0.2">
      <c r="B30" s="22" t="str">
        <f>C12&amp;" Provided by TWIA"</f>
        <v>(2) Provided by TWIA</v>
      </c>
      <c r="K30" s="2"/>
    </row>
    <row r="31" spans="1:12" x14ac:dyDescent="0.2">
      <c r="B31" s="22" t="str">
        <f>D12&amp;" Provided by TWIA"</f>
        <v>(3) Provided by TWIA</v>
      </c>
      <c r="K31" s="2"/>
    </row>
    <row r="32" spans="1:12" x14ac:dyDescent="0.2">
      <c r="B32" s="22" t="str">
        <f>E12&amp;" = "&amp;C12&amp;" * "&amp;D12</f>
        <v>(4) = (2) * (3)</v>
      </c>
      <c r="K32" s="2"/>
      <c r="L32" s="83"/>
    </row>
    <row r="33" spans="1:11" x14ac:dyDescent="0.2">
      <c r="A33" s="59"/>
      <c r="B33" s="22"/>
      <c r="K33" s="2"/>
    </row>
    <row r="34" spans="1:11" x14ac:dyDescent="0.2">
      <c r="B34" s="22"/>
      <c r="K34" s="2"/>
    </row>
    <row r="35" spans="1:11" x14ac:dyDescent="0.2">
      <c r="B35" s="25"/>
      <c r="K35" s="2"/>
    </row>
    <row r="36" spans="1:11" x14ac:dyDescent="0.2">
      <c r="B36" s="25"/>
      <c r="K36" s="2"/>
    </row>
    <row r="37" spans="1:11" x14ac:dyDescent="0.2">
      <c r="K37" s="2"/>
    </row>
    <row r="38" spans="1:11" x14ac:dyDescent="0.2"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x14ac:dyDescent="0.2"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ht="10.5" thickBot="1" x14ac:dyDescent="0.25">
      <c r="K66" s="2"/>
    </row>
    <row r="67" spans="1:11" ht="10.5" thickBot="1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2">
    <tabColor rgb="FF92D050"/>
  </sheetPr>
  <dimension ref="A1:P63"/>
  <sheetViews>
    <sheetView showGridLines="0" topLeftCell="A16" zoomScaleNormal="100" workbookViewId="0">
      <selection activeCell="H25" sqref="H25"/>
    </sheetView>
  </sheetViews>
  <sheetFormatPr defaultColWidth="11.33203125" defaultRowHeight="10" x14ac:dyDescent="0.2"/>
  <cols>
    <col min="1" max="1" width="6.33203125" bestFit="1" customWidth="1"/>
    <col min="2" max="2" width="11.33203125" customWidth="1"/>
    <col min="3" max="5" width="15.33203125" customWidth="1"/>
    <col min="6" max="9" width="11.33203125" customWidth="1"/>
    <col min="10" max="10" width="12.33203125" customWidth="1"/>
  </cols>
  <sheetData>
    <row r="1" spans="1:16" ht="10.5" x14ac:dyDescent="0.25">
      <c r="A1" s="8" t="str">
        <f>'1'!$A$1</f>
        <v>Texas Windstorm Insurance Association</v>
      </c>
      <c r="B1" s="12"/>
      <c r="J1" s="7" t="s">
        <v>174</v>
      </c>
      <c r="K1" s="1"/>
      <c r="O1" t="s">
        <v>428</v>
      </c>
      <c r="P1" t="s">
        <v>476</v>
      </c>
    </row>
    <row r="2" spans="1:16" ht="10.5" x14ac:dyDescent="0.25">
      <c r="A2" s="8" t="str">
        <f>'1'!$A$2</f>
        <v>Residential Property - Wind &amp; Hail</v>
      </c>
      <c r="B2" s="12"/>
      <c r="J2" s="7" t="s">
        <v>183</v>
      </c>
      <c r="K2" s="2"/>
    </row>
    <row r="3" spans="1:16" ht="10.5" x14ac:dyDescent="0.25">
      <c r="A3" s="8" t="str">
        <f>'1'!$A$3</f>
        <v>Rate Level Review</v>
      </c>
      <c r="B3" s="12"/>
      <c r="K3" s="2"/>
    </row>
    <row r="4" spans="1:16" x14ac:dyDescent="0.2">
      <c r="A4" t="s">
        <v>186</v>
      </c>
      <c r="B4" s="12"/>
      <c r="K4" s="2"/>
    </row>
    <row r="5" spans="1:16" x14ac:dyDescent="0.2">
      <c r="A5" t="s">
        <v>45</v>
      </c>
      <c r="B5" s="12"/>
      <c r="K5" s="2"/>
    </row>
    <row r="6" spans="1:16" x14ac:dyDescent="0.2">
      <c r="K6" s="2"/>
    </row>
    <row r="7" spans="1:16" ht="10.5" thickBot="1" x14ac:dyDescent="0.25">
      <c r="A7" s="6"/>
      <c r="B7" s="6"/>
      <c r="C7" s="6"/>
      <c r="D7" s="6"/>
      <c r="E7" s="6"/>
      <c r="K7" s="2"/>
    </row>
    <row r="8" spans="1:16" ht="10.5" thickTop="1" x14ac:dyDescent="0.2">
      <c r="K8" s="2"/>
    </row>
    <row r="9" spans="1:16" x14ac:dyDescent="0.2">
      <c r="C9" s="22"/>
      <c r="D9" t="s">
        <v>37</v>
      </c>
      <c r="E9" t="s">
        <v>44</v>
      </c>
      <c r="K9" s="2"/>
      <c r="L9" s="27"/>
    </row>
    <row r="10" spans="1:16" x14ac:dyDescent="0.2">
      <c r="C10" t="s">
        <v>321</v>
      </c>
      <c r="D10" t="s">
        <v>323</v>
      </c>
      <c r="E10" t="s">
        <v>42</v>
      </c>
      <c r="K10" s="2"/>
    </row>
    <row r="11" spans="1:16" x14ac:dyDescent="0.2">
      <c r="A11" s="9" t="s">
        <v>54</v>
      </c>
      <c r="B11" s="9"/>
      <c r="C11" s="9" t="s">
        <v>44</v>
      </c>
      <c r="D11" s="26" t="s">
        <v>137</v>
      </c>
      <c r="E11" s="9" t="s">
        <v>137</v>
      </c>
      <c r="K11" s="2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6" x14ac:dyDescent="0.2">
      <c r="D13" s="11"/>
      <c r="K13" s="2"/>
    </row>
    <row r="14" spans="1:16" x14ac:dyDescent="0.2">
      <c r="A14" t="str">
        <f t="shared" ref="A14:A22" si="0">TEXT(A15-1,"#")</f>
        <v>2012</v>
      </c>
      <c r="B14" s="25"/>
      <c r="C14" s="334">
        <f>'[3]TICO 2'!P26</f>
        <v>53841760</v>
      </c>
      <c r="D14" s="201">
        <f>'10.1d'!D14</f>
        <v>1.3727418575616306</v>
      </c>
      <c r="E14" s="31">
        <f t="shared" ref="E14:E22" si="1">ROUND(C14*D14,0)</f>
        <v>73910838</v>
      </c>
      <c r="K14" s="2"/>
      <c r="L14" s="35"/>
    </row>
    <row r="15" spans="1:16" x14ac:dyDescent="0.2">
      <c r="A15" t="str">
        <f t="shared" si="0"/>
        <v>2013</v>
      </c>
      <c r="B15" s="25"/>
      <c r="C15" s="334">
        <f>'[3]TICO 2'!P27</f>
        <v>57427564</v>
      </c>
      <c r="D15" s="201">
        <f>'10.1d'!D15</f>
        <v>1.3075493593415155</v>
      </c>
      <c r="E15" s="31">
        <f t="shared" si="1"/>
        <v>75089375</v>
      </c>
      <c r="K15" s="2"/>
      <c r="L15" s="35"/>
    </row>
    <row r="16" spans="1:16" x14ac:dyDescent="0.2">
      <c r="A16" t="str">
        <f t="shared" si="0"/>
        <v>2014</v>
      </c>
      <c r="B16" s="25"/>
      <c r="C16" s="334">
        <f>'[3]TICO 2'!P28</f>
        <v>62828148</v>
      </c>
      <c r="D16" s="201">
        <f>'10.1d'!D16</f>
        <v>1.2455465141622073</v>
      </c>
      <c r="E16" s="31">
        <f t="shared" si="1"/>
        <v>78255381</v>
      </c>
      <c r="K16" s="2"/>
      <c r="L16" s="35"/>
    </row>
    <row r="17" spans="1:12" x14ac:dyDescent="0.2">
      <c r="A17" t="str">
        <f t="shared" si="0"/>
        <v>2015</v>
      </c>
      <c r="B17" s="25"/>
      <c r="C17" s="334">
        <f>'[3]TICO 2'!P29</f>
        <v>68716114</v>
      </c>
      <c r="D17" s="201">
        <f>'10.1d'!D17</f>
        <v>1.1864644900727379</v>
      </c>
      <c r="E17" s="31">
        <f t="shared" si="1"/>
        <v>81529229</v>
      </c>
      <c r="K17" s="2"/>
      <c r="L17" s="35"/>
    </row>
    <row r="18" spans="1:12" x14ac:dyDescent="0.2">
      <c r="A18" t="str">
        <f t="shared" si="0"/>
        <v>2016</v>
      </c>
      <c r="B18" s="25"/>
      <c r="C18" s="334">
        <f>'[3]TICO 2'!P30</f>
        <v>71234774</v>
      </c>
      <c r="D18" s="201">
        <f>'10.1d'!D18</f>
        <v>1.1303877408726286</v>
      </c>
      <c r="E18" s="31">
        <f t="shared" si="1"/>
        <v>80522915</v>
      </c>
      <c r="K18" s="2"/>
      <c r="L18" s="35"/>
    </row>
    <row r="19" spans="1:12" x14ac:dyDescent="0.2">
      <c r="A19" t="str">
        <f t="shared" si="0"/>
        <v>2017</v>
      </c>
      <c r="B19" s="25"/>
      <c r="C19" s="334">
        <f>'[3]TICO 2'!P31</f>
        <v>69126281</v>
      </c>
      <c r="D19" s="201">
        <f>'10.1d'!D19</f>
        <v>1.1025000000000003</v>
      </c>
      <c r="E19" s="31">
        <f t="shared" si="1"/>
        <v>76211725</v>
      </c>
      <c r="K19" s="2"/>
      <c r="L19" s="35"/>
    </row>
    <row r="20" spans="1:12" x14ac:dyDescent="0.2">
      <c r="A20" t="str">
        <f t="shared" si="0"/>
        <v>2018</v>
      </c>
      <c r="B20" s="25"/>
      <c r="C20" s="334">
        <f>'[3]TICO 2'!P32</f>
        <v>63899693</v>
      </c>
      <c r="D20" s="201">
        <f>'10.1d'!D20</f>
        <v>1.0768211446107889</v>
      </c>
      <c r="E20" s="31">
        <f t="shared" si="1"/>
        <v>68808541</v>
      </c>
      <c r="K20" s="2"/>
      <c r="L20" s="35" t="s">
        <v>216</v>
      </c>
    </row>
    <row r="21" spans="1:12" x14ac:dyDescent="0.2">
      <c r="A21" t="str">
        <f t="shared" si="0"/>
        <v>2019</v>
      </c>
      <c r="B21" s="25"/>
      <c r="C21" s="334">
        <f>'[3]TICO 2'!P33</f>
        <v>59870593</v>
      </c>
      <c r="D21" s="201">
        <f>'10.1d'!D21</f>
        <v>1.0499999999999947</v>
      </c>
      <c r="E21" s="31">
        <f t="shared" si="1"/>
        <v>62864123</v>
      </c>
      <c r="K21" s="2"/>
      <c r="L21" s="52">
        <f>'10.1a'!$L$21</f>
        <v>44469</v>
      </c>
    </row>
    <row r="22" spans="1:12" x14ac:dyDescent="0.2">
      <c r="A22" t="str">
        <f t="shared" si="0"/>
        <v>2020</v>
      </c>
      <c r="B22" s="25"/>
      <c r="C22" s="334">
        <f>'[3]TICO 2'!P34</f>
        <v>57494711</v>
      </c>
      <c r="D22" s="201">
        <f>'10.1d'!D22</f>
        <v>1.0500000000000036</v>
      </c>
      <c r="E22" s="31">
        <f t="shared" si="1"/>
        <v>60369447</v>
      </c>
      <c r="K22" s="2"/>
      <c r="L22" s="52"/>
    </row>
    <row r="23" spans="1:12" x14ac:dyDescent="0.2">
      <c r="A23" s="25" t="str">
        <f>TEXT(YEAR($L$21),"#")</f>
        <v>2021</v>
      </c>
      <c r="B23" s="25"/>
      <c r="C23" s="334">
        <f>'[3]TICO 2'!P35</f>
        <v>57000700</v>
      </c>
      <c r="D23" s="201">
        <f>'10.1d'!D23</f>
        <v>1.0500000000000056</v>
      </c>
      <c r="E23" s="31">
        <f t="shared" ref="E23" si="2">ROUND(C23*D23,0)</f>
        <v>59850735</v>
      </c>
      <c r="K23" s="2"/>
      <c r="L23" s="52"/>
    </row>
    <row r="24" spans="1:12" x14ac:dyDescent="0.2">
      <c r="A24" s="9"/>
      <c r="B24" s="26"/>
      <c r="C24" s="81"/>
      <c r="D24" s="37"/>
      <c r="E24" s="67"/>
      <c r="K24" s="2"/>
    </row>
    <row r="25" spans="1:12" x14ac:dyDescent="0.2">
      <c r="C25" s="19"/>
      <c r="K25" s="2"/>
    </row>
    <row r="26" spans="1:12" x14ac:dyDescent="0.2">
      <c r="A26" t="s">
        <v>9</v>
      </c>
      <c r="C26" s="19">
        <f>SUM(C14:C24)</f>
        <v>621440338</v>
      </c>
      <c r="E26" s="19">
        <f>SUM(E14:E24)</f>
        <v>717412309</v>
      </c>
      <c r="K26" s="2"/>
    </row>
    <row r="27" spans="1:12" ht="10.5" thickBot="1" x14ac:dyDescent="0.25">
      <c r="A27" s="6"/>
      <c r="B27" s="6"/>
      <c r="C27" s="6"/>
      <c r="D27" s="6"/>
      <c r="E27" s="6"/>
      <c r="K27" s="2"/>
    </row>
    <row r="28" spans="1:12" ht="10.5" thickTop="1" x14ac:dyDescent="0.2">
      <c r="K28" s="2"/>
    </row>
    <row r="29" spans="1:12" x14ac:dyDescent="0.2">
      <c r="A29" t="s">
        <v>17</v>
      </c>
      <c r="K29" s="2"/>
    </row>
    <row r="30" spans="1:12" x14ac:dyDescent="0.2">
      <c r="B30" s="22" t="str">
        <f>C12&amp;" Provided by TWIA"</f>
        <v>(2) Provided by TWIA</v>
      </c>
      <c r="K30" s="2"/>
    </row>
    <row r="31" spans="1:12" x14ac:dyDescent="0.2">
      <c r="A31" s="59"/>
      <c r="B31" s="22" t="str">
        <f>D12&amp;" Provided by TWIA"</f>
        <v>(3) Provided by TWIA</v>
      </c>
      <c r="K31" s="2"/>
    </row>
    <row r="32" spans="1:12" x14ac:dyDescent="0.2">
      <c r="A32" s="59"/>
      <c r="B32" s="22" t="str">
        <f>E12&amp;" = "&amp;C12&amp;" * "&amp;D12</f>
        <v>(4) = (2) * (3)</v>
      </c>
      <c r="K32" s="2"/>
    </row>
    <row r="33" spans="2:11" x14ac:dyDescent="0.2">
      <c r="B33" s="22"/>
      <c r="K33" s="2"/>
    </row>
    <row r="34" spans="2:11" x14ac:dyDescent="0.2">
      <c r="B34" s="22"/>
      <c r="K34" s="2"/>
    </row>
    <row r="35" spans="2:11" x14ac:dyDescent="0.2">
      <c r="K35" s="2"/>
    </row>
    <row r="36" spans="2:11" x14ac:dyDescent="0.2">
      <c r="B36" s="25"/>
      <c r="K36" s="2"/>
    </row>
    <row r="37" spans="2:11" x14ac:dyDescent="0.2">
      <c r="B37" s="25"/>
      <c r="K37" s="2"/>
    </row>
    <row r="38" spans="2:11" x14ac:dyDescent="0.2"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K55" s="2"/>
    </row>
    <row r="56" spans="1:11" x14ac:dyDescent="0.2">
      <c r="K56" s="2"/>
    </row>
    <row r="57" spans="1:11" x14ac:dyDescent="0.2">
      <c r="K57" s="2"/>
    </row>
    <row r="58" spans="1:11" x14ac:dyDescent="0.2">
      <c r="K58" s="2"/>
    </row>
    <row r="59" spans="1:11" x14ac:dyDescent="0.2">
      <c r="K59" s="2"/>
    </row>
    <row r="60" spans="1:11" x14ac:dyDescent="0.2">
      <c r="K60" s="2"/>
    </row>
    <row r="61" spans="1:11" x14ac:dyDescent="0.2">
      <c r="K61" s="2"/>
    </row>
    <row r="62" spans="1:11" ht="10.5" thickBot="1" x14ac:dyDescent="0.25">
      <c r="K62" s="2"/>
    </row>
    <row r="63" spans="1:11" ht="10.5" thickBot="1" x14ac:dyDescent="0.25">
      <c r="A63" s="4"/>
      <c r="B63" s="5"/>
      <c r="C63" s="5"/>
      <c r="D63" s="5"/>
      <c r="E63" s="5"/>
      <c r="F63" s="5"/>
      <c r="G63" s="5"/>
      <c r="H63" s="5"/>
      <c r="I63" s="5"/>
      <c r="J63" s="5"/>
      <c r="K63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3">
    <tabColor rgb="FF92D050"/>
  </sheetPr>
  <dimension ref="A1:P67"/>
  <sheetViews>
    <sheetView showGridLines="0" topLeftCell="A19" zoomScaleNormal="100" workbookViewId="0">
      <selection activeCell="J29" sqref="J29"/>
    </sheetView>
  </sheetViews>
  <sheetFormatPr defaultColWidth="11.33203125" defaultRowHeight="10" x14ac:dyDescent="0.2"/>
  <cols>
    <col min="1" max="1" width="6.33203125" bestFit="1" customWidth="1"/>
    <col min="2" max="2" width="11.33203125" customWidth="1"/>
    <col min="3" max="5" width="15.33203125" customWidth="1"/>
    <col min="6" max="9" width="11.33203125" customWidth="1"/>
    <col min="10" max="10" width="12.33203125" customWidth="1"/>
  </cols>
  <sheetData>
    <row r="1" spans="1:16" ht="10.5" x14ac:dyDescent="0.25">
      <c r="A1" s="8" t="str">
        <f>'1'!$A$1</f>
        <v>Texas Windstorm Insurance Association</v>
      </c>
      <c r="B1" s="12"/>
      <c r="J1" s="7" t="s">
        <v>174</v>
      </c>
      <c r="K1" s="1"/>
      <c r="O1" t="s">
        <v>428</v>
      </c>
      <c r="P1" t="s">
        <v>476</v>
      </c>
    </row>
    <row r="2" spans="1:16" ht="10.5" x14ac:dyDescent="0.25">
      <c r="A2" s="8" t="str">
        <f>'1'!$A$2</f>
        <v>Residential Property - Wind &amp; Hail</v>
      </c>
      <c r="B2" s="12"/>
      <c r="J2" s="7" t="s">
        <v>184</v>
      </c>
      <c r="K2" s="2"/>
    </row>
    <row r="3" spans="1:16" ht="10.5" x14ac:dyDescent="0.25">
      <c r="A3" s="8" t="str">
        <f>'1'!$A$3</f>
        <v>Rate Level Review</v>
      </c>
      <c r="B3" s="12"/>
      <c r="K3" s="2"/>
    </row>
    <row r="4" spans="1:16" x14ac:dyDescent="0.2">
      <c r="A4" t="s">
        <v>186</v>
      </c>
      <c r="B4" s="12"/>
      <c r="K4" s="2"/>
    </row>
    <row r="5" spans="1:16" x14ac:dyDescent="0.2">
      <c r="A5" t="s">
        <v>47</v>
      </c>
      <c r="B5" s="12"/>
      <c r="K5" s="2"/>
    </row>
    <row r="6" spans="1:16" x14ac:dyDescent="0.2">
      <c r="K6" s="2"/>
    </row>
    <row r="7" spans="1:16" ht="10.5" thickBot="1" x14ac:dyDescent="0.25">
      <c r="A7" s="6"/>
      <c r="B7" s="6"/>
      <c r="C7" s="6"/>
      <c r="D7" s="6"/>
      <c r="E7" s="6"/>
      <c r="K7" s="2"/>
    </row>
    <row r="8" spans="1:16" ht="10.5" thickTop="1" x14ac:dyDescent="0.2">
      <c r="D8" s="25"/>
      <c r="K8" s="2"/>
    </row>
    <row r="9" spans="1:16" x14ac:dyDescent="0.2">
      <c r="C9" s="22"/>
      <c r="D9" t="s">
        <v>37</v>
      </c>
      <c r="E9" t="s">
        <v>44</v>
      </c>
      <c r="K9" s="2"/>
      <c r="L9" s="27"/>
    </row>
    <row r="10" spans="1:16" x14ac:dyDescent="0.2">
      <c r="C10" t="s">
        <v>321</v>
      </c>
      <c r="D10" t="s">
        <v>323</v>
      </c>
      <c r="E10" t="s">
        <v>42</v>
      </c>
      <c r="K10" s="2"/>
    </row>
    <row r="11" spans="1:16" x14ac:dyDescent="0.2">
      <c r="A11" s="9" t="s">
        <v>54</v>
      </c>
      <c r="B11" s="9"/>
      <c r="C11" s="9" t="s">
        <v>44</v>
      </c>
      <c r="D11" s="26" t="s">
        <v>137</v>
      </c>
      <c r="E11" s="9" t="s">
        <v>137</v>
      </c>
      <c r="K11" s="2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6" x14ac:dyDescent="0.2">
      <c r="D13" s="11"/>
      <c r="K13" s="2"/>
    </row>
    <row r="14" spans="1:16" x14ac:dyDescent="0.2">
      <c r="A14" t="str">
        <f t="shared" ref="A14:A22" si="0">TEXT(A15-1,"#")</f>
        <v>2012</v>
      </c>
      <c r="B14" s="25"/>
      <c r="C14" s="334">
        <f>'[3]TICO 2'!Q26</f>
        <v>160031435</v>
      </c>
      <c r="D14" s="201">
        <f>'10.1d'!D14</f>
        <v>1.3727418575616306</v>
      </c>
      <c r="E14" s="31">
        <f t="shared" ref="E14:E21" si="1">ROUND(C14*D14,0)</f>
        <v>219681849</v>
      </c>
      <c r="K14" s="2"/>
      <c r="L14" s="35"/>
    </row>
    <row r="15" spans="1:16" x14ac:dyDescent="0.2">
      <c r="A15" t="str">
        <f t="shared" si="0"/>
        <v>2013</v>
      </c>
      <c r="B15" s="25"/>
      <c r="C15" s="334">
        <f>'[3]TICO 2'!Q27</f>
        <v>173209952</v>
      </c>
      <c r="D15" s="201">
        <f>'10.1d'!D15</f>
        <v>1.3075493593415155</v>
      </c>
      <c r="E15" s="31">
        <f t="shared" si="1"/>
        <v>226480562</v>
      </c>
      <c r="K15" s="2"/>
      <c r="L15" s="35"/>
    </row>
    <row r="16" spans="1:16" x14ac:dyDescent="0.2">
      <c r="A16" t="str">
        <f t="shared" si="0"/>
        <v>2014</v>
      </c>
      <c r="B16" s="25"/>
      <c r="C16" s="334">
        <f>'[3]TICO 2'!Q28</f>
        <v>187152484</v>
      </c>
      <c r="D16" s="201">
        <f>'10.1d'!D16</f>
        <v>1.2455465141622073</v>
      </c>
      <c r="E16" s="31">
        <f t="shared" si="1"/>
        <v>233107124</v>
      </c>
      <c r="K16" s="2"/>
      <c r="L16" s="35"/>
    </row>
    <row r="17" spans="1:12" x14ac:dyDescent="0.2">
      <c r="A17" t="str">
        <f t="shared" si="0"/>
        <v>2015</v>
      </c>
      <c r="B17" s="25"/>
      <c r="C17" s="334">
        <f>'[3]TICO 2'!Q29</f>
        <v>200595693</v>
      </c>
      <c r="D17" s="201">
        <f>'10.1d'!D17</f>
        <v>1.1864644900727379</v>
      </c>
      <c r="E17" s="31">
        <f t="shared" si="1"/>
        <v>237999667</v>
      </c>
      <c r="K17" s="2"/>
      <c r="L17" s="35"/>
    </row>
    <row r="18" spans="1:12" x14ac:dyDescent="0.2">
      <c r="A18" t="str">
        <f t="shared" si="0"/>
        <v>2016</v>
      </c>
      <c r="B18" s="25"/>
      <c r="C18" s="334">
        <f>'[3]TICO 2'!Q30</f>
        <v>200978477</v>
      </c>
      <c r="D18" s="201">
        <f>'10.1d'!D18</f>
        <v>1.1303877408726286</v>
      </c>
      <c r="E18" s="31">
        <f t="shared" si="1"/>
        <v>227183607</v>
      </c>
      <c r="K18" s="2"/>
      <c r="L18" s="35"/>
    </row>
    <row r="19" spans="1:12" x14ac:dyDescent="0.2">
      <c r="A19" t="str">
        <f t="shared" si="0"/>
        <v>2017</v>
      </c>
      <c r="B19" s="25"/>
      <c r="C19" s="334">
        <f>'[3]TICO 2'!Q31</f>
        <v>188554673</v>
      </c>
      <c r="D19" s="201">
        <f>'10.1d'!D19</f>
        <v>1.1025000000000003</v>
      </c>
      <c r="E19" s="31">
        <f t="shared" si="1"/>
        <v>207881527</v>
      </c>
      <c r="K19" s="2"/>
      <c r="L19" s="35"/>
    </row>
    <row r="20" spans="1:12" x14ac:dyDescent="0.2">
      <c r="A20" t="str">
        <f t="shared" si="0"/>
        <v>2018</v>
      </c>
      <c r="B20" s="25"/>
      <c r="C20" s="334">
        <f>'[3]TICO 2'!Q32</f>
        <v>166829909</v>
      </c>
      <c r="D20" s="201">
        <f>'10.1d'!D20</f>
        <v>1.0768211446107889</v>
      </c>
      <c r="E20" s="31">
        <f t="shared" si="1"/>
        <v>179645974</v>
      </c>
      <c r="K20" s="2"/>
      <c r="L20" s="35" t="s">
        <v>216</v>
      </c>
    </row>
    <row r="21" spans="1:12" x14ac:dyDescent="0.2">
      <c r="A21" t="str">
        <f t="shared" si="0"/>
        <v>2019</v>
      </c>
      <c r="B21" s="25"/>
      <c r="C21" s="334">
        <f>'[3]TICO 2'!Q33</f>
        <v>151980115</v>
      </c>
      <c r="D21" s="201">
        <f>'10.1d'!D21</f>
        <v>1.0499999999999947</v>
      </c>
      <c r="E21" s="31">
        <f t="shared" si="1"/>
        <v>159579121</v>
      </c>
      <c r="K21" s="2"/>
      <c r="L21" s="52">
        <f>'10.1a'!$L$21</f>
        <v>44469</v>
      </c>
    </row>
    <row r="22" spans="1:12" x14ac:dyDescent="0.2">
      <c r="A22" t="str">
        <f t="shared" si="0"/>
        <v>2020</v>
      </c>
      <c r="B22" s="25"/>
      <c r="C22" s="334">
        <f>'[3]TICO 2'!Q34</f>
        <v>141633299</v>
      </c>
      <c r="D22" s="201">
        <f>'10.1d'!D22</f>
        <v>1.0500000000000036</v>
      </c>
      <c r="E22" s="31">
        <f>ROUND(C22*D22,0)</f>
        <v>148714964</v>
      </c>
      <c r="K22" s="2"/>
      <c r="L22" s="52"/>
    </row>
    <row r="23" spans="1:12" x14ac:dyDescent="0.2">
      <c r="A23" s="25" t="str">
        <f>TEXT(YEAR($L$21),"#")</f>
        <v>2021</v>
      </c>
      <c r="B23" s="25"/>
      <c r="C23" s="334">
        <f>'[3]TICO 2'!Q35</f>
        <v>140039840</v>
      </c>
      <c r="D23" s="201">
        <f>'10.1d'!D23</f>
        <v>1.0500000000000056</v>
      </c>
      <c r="E23" s="31">
        <f>ROUND(C23*D23,0)</f>
        <v>147041832</v>
      </c>
      <c r="K23" s="2"/>
      <c r="L23" s="52"/>
    </row>
    <row r="24" spans="1:12" x14ac:dyDescent="0.2">
      <c r="A24" s="9"/>
      <c r="B24" s="26"/>
      <c r="C24" s="81"/>
      <c r="D24" s="37"/>
      <c r="E24" s="67"/>
      <c r="K24" s="2"/>
    </row>
    <row r="25" spans="1:12" x14ac:dyDescent="0.2">
      <c r="C25" s="19"/>
      <c r="K25" s="2"/>
    </row>
    <row r="26" spans="1:12" x14ac:dyDescent="0.2">
      <c r="A26" t="s">
        <v>9</v>
      </c>
      <c r="C26" s="19">
        <f>SUM(C14:C24)</f>
        <v>1711005877</v>
      </c>
      <c r="E26" s="19">
        <f>SUM(E14:E24)</f>
        <v>1987316227</v>
      </c>
      <c r="K26" s="2"/>
    </row>
    <row r="27" spans="1:12" ht="10.5" thickBot="1" x14ac:dyDescent="0.25">
      <c r="A27" s="6"/>
      <c r="B27" s="6"/>
      <c r="C27" s="6"/>
      <c r="D27" s="6"/>
      <c r="E27" s="6"/>
      <c r="K27" s="2"/>
    </row>
    <row r="28" spans="1:12" ht="10.5" thickTop="1" x14ac:dyDescent="0.2">
      <c r="K28" s="2"/>
    </row>
    <row r="29" spans="1:12" x14ac:dyDescent="0.2">
      <c r="A29" t="s">
        <v>17</v>
      </c>
      <c r="K29" s="2"/>
    </row>
    <row r="30" spans="1:12" x14ac:dyDescent="0.2">
      <c r="B30" s="22" t="str">
        <f>C12&amp;" Provided by TWIA"</f>
        <v>(2) Provided by TWIA</v>
      </c>
      <c r="K30" s="2"/>
    </row>
    <row r="31" spans="1:12" x14ac:dyDescent="0.2">
      <c r="A31" s="59"/>
      <c r="B31" s="22" t="str">
        <f>D12&amp;" Provided by TWIA"</f>
        <v>(3) Provided by TWIA</v>
      </c>
      <c r="K31" s="2"/>
    </row>
    <row r="32" spans="1:12" x14ac:dyDescent="0.2">
      <c r="B32" s="22" t="str">
        <f>E12&amp;" = "&amp;C12&amp;" * "&amp;D12</f>
        <v>(4) = (2) * (3)</v>
      </c>
      <c r="K32" s="2"/>
    </row>
    <row r="33" spans="2:11" x14ac:dyDescent="0.2">
      <c r="K33" s="2"/>
    </row>
    <row r="34" spans="2:11" x14ac:dyDescent="0.2">
      <c r="B34" s="22"/>
      <c r="K34" s="2"/>
    </row>
    <row r="35" spans="2:11" x14ac:dyDescent="0.2">
      <c r="B35" s="22"/>
      <c r="K35" s="2"/>
    </row>
    <row r="36" spans="2:11" x14ac:dyDescent="0.2">
      <c r="B36" s="25"/>
      <c r="K36" s="2"/>
    </row>
    <row r="37" spans="2:11" x14ac:dyDescent="0.2">
      <c r="B37" s="25"/>
      <c r="K37" s="2"/>
    </row>
    <row r="38" spans="2:11" x14ac:dyDescent="0.2">
      <c r="K38" s="2"/>
    </row>
    <row r="39" spans="2:11" x14ac:dyDescent="0.2">
      <c r="K39" s="2"/>
    </row>
    <row r="40" spans="2:11" x14ac:dyDescent="0.2">
      <c r="K40" s="2"/>
    </row>
    <row r="41" spans="2:11" x14ac:dyDescent="0.2">
      <c r="K41" s="2"/>
    </row>
    <row r="42" spans="2:11" x14ac:dyDescent="0.2">
      <c r="K42" s="2"/>
    </row>
    <row r="43" spans="2:11" x14ac:dyDescent="0.2">
      <c r="K43" s="2"/>
    </row>
    <row r="44" spans="2:11" x14ac:dyDescent="0.2"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ht="10.5" thickBot="1" x14ac:dyDescent="0.25">
      <c r="K66" s="2"/>
    </row>
    <row r="67" spans="1:11" ht="10.5" thickBot="1" x14ac:dyDescent="0.25">
      <c r="A67" s="4"/>
      <c r="B67" s="5"/>
      <c r="C67" s="5"/>
      <c r="D67" s="5"/>
      <c r="E67" s="5"/>
      <c r="F67" s="5"/>
      <c r="G67" s="5"/>
      <c r="H67" s="5"/>
      <c r="I67" s="5"/>
      <c r="J67" s="5"/>
      <c r="K67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92D050"/>
  </sheetPr>
  <dimension ref="A1:L69"/>
  <sheetViews>
    <sheetView showGridLines="0" tabSelected="1" workbookViewId="0">
      <selection activeCell="K26" sqref="K26"/>
    </sheetView>
  </sheetViews>
  <sheetFormatPr defaultColWidth="11.33203125" defaultRowHeight="10" x14ac:dyDescent="0.2"/>
  <cols>
    <col min="1" max="1" width="5.109375" bestFit="1" customWidth="1"/>
    <col min="2" max="2" width="11.33203125" customWidth="1"/>
    <col min="3" max="6" width="13" customWidth="1"/>
    <col min="7" max="7" width="15.6640625" customWidth="1"/>
    <col min="8" max="8" width="16.33203125" customWidth="1"/>
    <col min="9" max="9" width="11.33203125" customWidth="1"/>
    <col min="10" max="10" width="9.44140625" customWidth="1"/>
  </cols>
  <sheetData>
    <row r="1" spans="1:12" ht="10.5" x14ac:dyDescent="0.25">
      <c r="A1" s="8" t="str">
        <f>'1'!$A$1</f>
        <v>Texas Windstorm Insurance Association</v>
      </c>
      <c r="B1" s="12"/>
      <c r="I1" s="50"/>
      <c r="J1" s="7" t="s">
        <v>20</v>
      </c>
      <c r="K1" s="1"/>
    </row>
    <row r="2" spans="1:12" ht="10.5" x14ac:dyDescent="0.25">
      <c r="A2" s="8" t="str">
        <f>'1'!$A$2</f>
        <v>Residential Property - Wind &amp; Hail</v>
      </c>
      <c r="B2" s="12"/>
      <c r="I2" s="50"/>
      <c r="J2" s="7" t="s">
        <v>32</v>
      </c>
      <c r="K2" s="2"/>
    </row>
    <row r="3" spans="1:12" ht="10.5" x14ac:dyDescent="0.25">
      <c r="A3" s="8" t="str">
        <f>'1'!$A$3</f>
        <v>Rate Level Review</v>
      </c>
      <c r="B3" s="12"/>
      <c r="I3" s="50"/>
      <c r="J3" s="126"/>
      <c r="K3" s="2"/>
    </row>
    <row r="4" spans="1:12" x14ac:dyDescent="0.2">
      <c r="A4" t="s">
        <v>322</v>
      </c>
      <c r="B4" s="12"/>
      <c r="I4" s="50"/>
      <c r="K4" s="2"/>
    </row>
    <row r="5" spans="1:12" x14ac:dyDescent="0.2">
      <c r="A5" t="s">
        <v>31</v>
      </c>
      <c r="B5" s="12"/>
      <c r="I5" s="50"/>
      <c r="K5" s="2"/>
    </row>
    <row r="6" spans="1:12" x14ac:dyDescent="0.2">
      <c r="I6" s="50"/>
      <c r="K6" s="2"/>
    </row>
    <row r="7" spans="1:12" ht="10.5" thickBot="1" x14ac:dyDescent="0.25">
      <c r="A7" s="6"/>
      <c r="B7" s="6"/>
      <c r="C7" s="6"/>
      <c r="D7" s="6"/>
      <c r="E7" s="6"/>
      <c r="F7" s="6"/>
      <c r="G7" s="6"/>
      <c r="H7" s="6"/>
      <c r="I7" s="50"/>
      <c r="K7" s="2"/>
      <c r="L7" t="s">
        <v>217</v>
      </c>
    </row>
    <row r="8" spans="1:12" ht="10.5" thickTop="1" x14ac:dyDescent="0.2">
      <c r="I8" s="50"/>
      <c r="K8" s="2"/>
      <c r="L8" s="84">
        <f>'2.4a'!L$22</f>
        <v>44469</v>
      </c>
    </row>
    <row r="9" spans="1:12" x14ac:dyDescent="0.2">
      <c r="A9" t="s">
        <v>33</v>
      </c>
      <c r="C9" s="22" t="s">
        <v>35</v>
      </c>
      <c r="E9" t="s">
        <v>38</v>
      </c>
      <c r="F9" t="s">
        <v>40</v>
      </c>
      <c r="G9" t="s">
        <v>44</v>
      </c>
      <c r="H9" t="s">
        <v>13</v>
      </c>
      <c r="I9" s="50"/>
      <c r="K9" s="2"/>
      <c r="L9" s="27"/>
    </row>
    <row r="10" spans="1:12" x14ac:dyDescent="0.2">
      <c r="A10" t="s">
        <v>34</v>
      </c>
      <c r="C10" t="s">
        <v>8</v>
      </c>
      <c r="D10" t="s">
        <v>36</v>
      </c>
      <c r="E10" t="s">
        <v>39</v>
      </c>
      <c r="F10" t="s">
        <v>8</v>
      </c>
      <c r="G10" t="s">
        <v>42</v>
      </c>
      <c r="H10" t="s">
        <v>8</v>
      </c>
      <c r="I10" s="50"/>
      <c r="K10" s="2"/>
    </row>
    <row r="11" spans="1:12" x14ac:dyDescent="0.2">
      <c r="A11" s="9" t="str">
        <f>TEXT($L$8,"m/d/xx")</f>
        <v>9/30/xx</v>
      </c>
      <c r="B11" s="9"/>
      <c r="C11" s="9" t="s">
        <v>41</v>
      </c>
      <c r="D11" s="9" t="s">
        <v>37</v>
      </c>
      <c r="E11" s="9" t="s">
        <v>37</v>
      </c>
      <c r="F11" s="9" t="s">
        <v>11</v>
      </c>
      <c r="G11" s="9" t="s">
        <v>43</v>
      </c>
      <c r="H11" s="9" t="s">
        <v>29</v>
      </c>
      <c r="I11" s="50"/>
      <c r="K11" s="2"/>
    </row>
    <row r="12" spans="1:12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3"/>
      <c r="K12" s="2"/>
    </row>
    <row r="13" spans="1:12" x14ac:dyDescent="0.2">
      <c r="I13" s="50"/>
      <c r="K13" s="2"/>
    </row>
    <row r="14" spans="1:12" x14ac:dyDescent="0.2">
      <c r="A14" t="str">
        <f t="shared" ref="A14:A22" si="1">TEXT(A15-1,"#")</f>
        <v>2012</v>
      </c>
      <c r="B14" s="25"/>
      <c r="C14" s="33">
        <f>'2.3a'!E14</f>
        <v>10634874</v>
      </c>
      <c r="D14" s="36">
        <f>'4.1'!$E$63</f>
        <v>0.27800000000000002</v>
      </c>
      <c r="E14" s="35">
        <f>'trend 2.5'!$G30</f>
        <v>1.2190000000000001</v>
      </c>
      <c r="F14" s="19">
        <f>ROUND(C14*(1+D14)*E14,0)</f>
        <v>16567879</v>
      </c>
      <c r="G14" s="49">
        <f>'10.1a'!E14</f>
        <v>135360527</v>
      </c>
      <c r="H14" s="20">
        <f>ROUND(F14/G14,3)</f>
        <v>0.122</v>
      </c>
      <c r="I14" s="162"/>
      <c r="K14" s="2"/>
    </row>
    <row r="15" spans="1:12" x14ac:dyDescent="0.2">
      <c r="A15" t="str">
        <f t="shared" si="1"/>
        <v>2013</v>
      </c>
      <c r="B15" s="25"/>
      <c r="C15" s="33">
        <f>'2.3a'!E15</f>
        <v>54085975</v>
      </c>
      <c r="D15" s="36">
        <f t="shared" ref="D15:D23" si="2">D$14</f>
        <v>0.27800000000000002</v>
      </c>
      <c r="E15" s="35">
        <f>'trend 2.5'!$G31</f>
        <v>1.1859999999999999</v>
      </c>
      <c r="F15" s="19">
        <f t="shared" ref="F15:F22" si="3">ROUND(C15*(1+D15)*E15,0)</f>
        <v>81978545</v>
      </c>
      <c r="G15" s="49">
        <f>'10.1a'!E15</f>
        <v>138523122</v>
      </c>
      <c r="H15" s="20">
        <f t="shared" ref="H15:H20" si="4">ROUND(F15/G15,3)</f>
        <v>0.59199999999999997</v>
      </c>
      <c r="I15" s="162"/>
      <c r="K15" s="2"/>
    </row>
    <row r="16" spans="1:12" x14ac:dyDescent="0.2">
      <c r="A16" t="str">
        <f t="shared" si="1"/>
        <v>2014</v>
      </c>
      <c r="B16" s="25"/>
      <c r="C16" s="33">
        <f>'2.3a'!E16</f>
        <v>520624</v>
      </c>
      <c r="D16" s="36">
        <f t="shared" si="2"/>
        <v>0.27800000000000002</v>
      </c>
      <c r="E16" s="35">
        <f>'trend 2.5'!$G32</f>
        <v>1.163</v>
      </c>
      <c r="F16" s="19">
        <f t="shared" si="3"/>
        <v>773811</v>
      </c>
      <c r="G16" s="49">
        <f>'10.1a'!E16</f>
        <v>141396555</v>
      </c>
      <c r="H16" s="20">
        <f t="shared" si="4"/>
        <v>5.0000000000000001E-3</v>
      </c>
      <c r="I16" s="162"/>
      <c r="K16" s="2"/>
    </row>
    <row r="17" spans="1:11" x14ac:dyDescent="0.2">
      <c r="A17" t="str">
        <f t="shared" si="1"/>
        <v>2015</v>
      </c>
      <c r="B17" s="25"/>
      <c r="C17" s="33">
        <f>'2.3a'!E17</f>
        <v>17443601</v>
      </c>
      <c r="D17" s="36">
        <f t="shared" si="2"/>
        <v>0.27800000000000002</v>
      </c>
      <c r="E17" s="35">
        <f>'trend 2.5'!$G33</f>
        <v>1.1479999999999999</v>
      </c>
      <c r="F17" s="19">
        <f t="shared" si="3"/>
        <v>25592275</v>
      </c>
      <c r="G17" s="49">
        <f>'10.1a'!E17</f>
        <v>143824430</v>
      </c>
      <c r="H17" s="20">
        <f t="shared" si="4"/>
        <v>0.17799999999999999</v>
      </c>
      <c r="I17" s="162"/>
      <c r="K17" s="2"/>
    </row>
    <row r="18" spans="1:11" x14ac:dyDescent="0.2">
      <c r="A18" t="str">
        <f t="shared" si="1"/>
        <v>2016</v>
      </c>
      <c r="B18" s="25"/>
      <c r="C18" s="33">
        <f>'2.3a'!E18</f>
        <v>10996867</v>
      </c>
      <c r="D18" s="36">
        <f t="shared" si="2"/>
        <v>0.27800000000000002</v>
      </c>
      <c r="E18" s="35">
        <f>'trend 2.5'!$G34</f>
        <v>1.1519999999999999</v>
      </c>
      <c r="F18" s="19">
        <f t="shared" si="3"/>
        <v>16190203</v>
      </c>
      <c r="G18" s="49">
        <f>'10.1a'!E18</f>
        <v>140103503</v>
      </c>
      <c r="H18" s="20">
        <f t="shared" si="4"/>
        <v>0.11600000000000001</v>
      </c>
      <c r="I18" s="162"/>
      <c r="K18" s="2"/>
    </row>
    <row r="19" spans="1:11" x14ac:dyDescent="0.2">
      <c r="A19" t="str">
        <f t="shared" si="1"/>
        <v>2017</v>
      </c>
      <c r="B19" s="25"/>
      <c r="C19" s="33">
        <f>'2.3a'!E19</f>
        <v>2716787</v>
      </c>
      <c r="D19" s="36">
        <f t="shared" si="2"/>
        <v>0.27800000000000002</v>
      </c>
      <c r="E19" s="35">
        <f>'trend 2.5'!$G35</f>
        <v>1.133</v>
      </c>
      <c r="F19" s="19">
        <f>ROUND(C19*(1+D19)*E19,0)</f>
        <v>3933837</v>
      </c>
      <c r="G19" s="49">
        <f>'10.1a'!E19</f>
        <v>133016924</v>
      </c>
      <c r="H19" s="20">
        <f t="shared" si="4"/>
        <v>0.03</v>
      </c>
      <c r="I19" s="162"/>
      <c r="K19" s="2"/>
    </row>
    <row r="20" spans="1:11" x14ac:dyDescent="0.2">
      <c r="A20" t="str">
        <f t="shared" si="1"/>
        <v>2018</v>
      </c>
      <c r="B20" s="25"/>
      <c r="C20" s="33">
        <f>'2.3a'!E20</f>
        <v>2536877</v>
      </c>
      <c r="D20" s="36">
        <f t="shared" si="2"/>
        <v>0.27800000000000002</v>
      </c>
      <c r="E20" s="35">
        <f>'trend 2.5'!$G36</f>
        <v>1.1000000000000001</v>
      </c>
      <c r="F20" s="19">
        <f t="shared" si="3"/>
        <v>3566342</v>
      </c>
      <c r="G20" s="49">
        <f>'10.1a'!E20</f>
        <v>121376251</v>
      </c>
      <c r="H20" s="20">
        <f t="shared" si="4"/>
        <v>2.9000000000000001E-2</v>
      </c>
      <c r="I20" s="162"/>
      <c r="K20" s="2"/>
    </row>
    <row r="21" spans="1:11" x14ac:dyDescent="0.2">
      <c r="A21" t="str">
        <f t="shared" si="1"/>
        <v>2019</v>
      </c>
      <c r="B21" s="25"/>
      <c r="C21" s="33">
        <f>'2.3a'!E21</f>
        <v>4833521</v>
      </c>
      <c r="D21" s="36">
        <f t="shared" si="2"/>
        <v>0.27800000000000002</v>
      </c>
      <c r="E21" s="35">
        <f>'trend 2.5'!$G37</f>
        <v>1.0860000000000001</v>
      </c>
      <c r="F21" s="19">
        <f t="shared" si="3"/>
        <v>6708482</v>
      </c>
      <c r="G21" s="49">
        <f>'10.1a'!E21</f>
        <v>114641201</v>
      </c>
      <c r="H21" s="20">
        <f>ROUND(F21/G21,3)</f>
        <v>5.8999999999999997E-2</v>
      </c>
      <c r="I21" s="162"/>
      <c r="K21" s="2"/>
    </row>
    <row r="22" spans="1:11" x14ac:dyDescent="0.2">
      <c r="A22" t="str">
        <f t="shared" si="1"/>
        <v>2020</v>
      </c>
      <c r="B22" s="51"/>
      <c r="C22" s="49">
        <f>'2.3a'!E22</f>
        <v>5823899</v>
      </c>
      <c r="D22" s="75">
        <f t="shared" si="2"/>
        <v>0.27800000000000002</v>
      </c>
      <c r="E22" s="101">
        <f>'trend 2.5'!$G38</f>
        <v>1.097</v>
      </c>
      <c r="F22" s="58">
        <f t="shared" si="3"/>
        <v>8164908</v>
      </c>
      <c r="G22" s="49">
        <f>'10.1a'!E22</f>
        <v>113445809</v>
      </c>
      <c r="H22" s="162">
        <f>ROUND(F22/G22,3)</f>
        <v>7.1999999999999995E-2</v>
      </c>
      <c r="I22" s="162"/>
      <c r="K22" s="2"/>
    </row>
    <row r="23" spans="1:11" x14ac:dyDescent="0.2">
      <c r="A23" t="str">
        <f>TEXT(YEAR($L$8),"#")</f>
        <v>2021</v>
      </c>
      <c r="B23" s="51"/>
      <c r="C23" s="49">
        <f>'2.3a'!E23</f>
        <v>21701518</v>
      </c>
      <c r="D23" s="75">
        <f t="shared" si="2"/>
        <v>0.27800000000000002</v>
      </c>
      <c r="E23" s="101">
        <f>'trend 2.5'!$G39</f>
        <v>1.0409999999999999</v>
      </c>
      <c r="F23" s="58">
        <f>ROUND(C23*(1+D23)*E23,0)</f>
        <v>28871656</v>
      </c>
      <c r="G23" s="49">
        <f>'10.1a'!E23</f>
        <v>117940724</v>
      </c>
      <c r="H23" s="162">
        <f>ROUND(F23/G23,3)</f>
        <v>0.245</v>
      </c>
      <c r="K23" s="2"/>
    </row>
    <row r="24" spans="1:11" x14ac:dyDescent="0.2">
      <c r="A24" s="9"/>
      <c r="B24" s="26"/>
      <c r="C24" s="34"/>
      <c r="D24" s="37"/>
      <c r="E24" s="66"/>
      <c r="F24" s="28"/>
      <c r="G24" s="34"/>
      <c r="H24" s="21"/>
      <c r="I24" s="50"/>
      <c r="K24" s="2"/>
    </row>
    <row r="25" spans="1:11" x14ac:dyDescent="0.2">
      <c r="I25" s="162"/>
      <c r="J25" s="20"/>
      <c r="K25" s="2"/>
    </row>
    <row r="26" spans="1:11" x14ac:dyDescent="0.2">
      <c r="A26" t="s">
        <v>9</v>
      </c>
      <c r="C26" s="19">
        <f>SUM(C14:C24)</f>
        <v>131294543</v>
      </c>
      <c r="F26" s="19">
        <f>SUM(F14:F24)</f>
        <v>192347938</v>
      </c>
      <c r="G26" s="19">
        <f>SUM(G14:G24)</f>
        <v>1299629046</v>
      </c>
      <c r="H26" s="20">
        <f>ROUND(F26/G26,3)</f>
        <v>0.14799999999999999</v>
      </c>
      <c r="I26" s="50"/>
      <c r="K26" s="2"/>
    </row>
    <row r="27" spans="1:11" ht="10.5" thickBot="1" x14ac:dyDescent="0.25">
      <c r="A27" s="6"/>
      <c r="B27" s="6"/>
      <c r="C27" s="6"/>
      <c r="D27" s="6"/>
      <c r="E27" s="6"/>
      <c r="F27" s="6"/>
      <c r="G27" s="6"/>
      <c r="H27" s="6"/>
      <c r="I27" s="50"/>
      <c r="K27" s="2"/>
    </row>
    <row r="28" spans="1:11" ht="10.5" thickTop="1" x14ac:dyDescent="0.2">
      <c r="I28" s="50"/>
      <c r="K28" s="2"/>
    </row>
    <row r="29" spans="1:11" x14ac:dyDescent="0.2">
      <c r="A29" t="s">
        <v>17</v>
      </c>
      <c r="I29" s="50"/>
      <c r="K29" s="2"/>
    </row>
    <row r="30" spans="1:11" x14ac:dyDescent="0.2">
      <c r="B30" s="22" t="str">
        <f>C12&amp;" "&amp;'2.3a'!$J$1&amp;", "&amp;'2.3a'!$J$2</f>
        <v>(2) Exhibit 2, Sheet 3a</v>
      </c>
      <c r="I30" s="50"/>
      <c r="K30" s="2"/>
    </row>
    <row r="31" spans="1:11" x14ac:dyDescent="0.2">
      <c r="B31" s="22" t="str">
        <f>D12&amp;" "&amp;'4.1'!$J$1&amp;", "&amp;'4.1'!$J$2</f>
        <v>(3) Exhibit 4, Sheet 1</v>
      </c>
      <c r="I31" s="50"/>
      <c r="K31" s="2"/>
    </row>
    <row r="32" spans="1:11" x14ac:dyDescent="0.2">
      <c r="B32" s="22" t="str">
        <f>E12&amp;" "&amp;'trend 2.5'!$L$1&amp;" "&amp;'trend 2.5'!$L$2</f>
        <v>(4) Exhibit 2 Sheet 5</v>
      </c>
      <c r="I32" s="50"/>
      <c r="K32" s="2"/>
    </row>
    <row r="33" spans="1:11" x14ac:dyDescent="0.2">
      <c r="B33" s="22" t="str">
        <f>F12&amp;" = "&amp;C12&amp;" * [1 + "&amp;D12&amp;"] * "&amp;E12</f>
        <v>(5) = (2) * [1 + (3)] * (4)</v>
      </c>
      <c r="I33" s="50"/>
      <c r="K33" s="2"/>
    </row>
    <row r="34" spans="1:11" x14ac:dyDescent="0.2">
      <c r="B34" s="22" t="str">
        <f>G12&amp;" "&amp;'10.1a'!$J$1&amp;", "&amp;'10.1a'!$J$2</f>
        <v>(6) Exhibit 10, Sheet 1a</v>
      </c>
      <c r="I34" s="50"/>
      <c r="K34" s="2"/>
    </row>
    <row r="35" spans="1:11" x14ac:dyDescent="0.2">
      <c r="B35" s="22" t="str">
        <f>H12&amp;" = "&amp;F12&amp;" / "&amp;G12</f>
        <v>(7) = (5) / (6)</v>
      </c>
      <c r="I35" s="50"/>
      <c r="K35" s="2"/>
    </row>
    <row r="36" spans="1:11" x14ac:dyDescent="0.2">
      <c r="I36" s="50"/>
      <c r="K36" s="2"/>
    </row>
    <row r="37" spans="1:11" x14ac:dyDescent="0.2">
      <c r="B37" s="25"/>
      <c r="I37" s="50"/>
      <c r="K37" s="2"/>
    </row>
    <row r="38" spans="1:11" x14ac:dyDescent="0.2">
      <c r="A38" s="59"/>
      <c r="B38" s="25"/>
      <c r="I38" s="50"/>
      <c r="K38" s="2"/>
    </row>
    <row r="39" spans="1:11" x14ac:dyDescent="0.2">
      <c r="I39" s="50"/>
      <c r="K39" s="2"/>
    </row>
    <row r="40" spans="1:11" x14ac:dyDescent="0.2">
      <c r="I40" s="50"/>
      <c r="K40" s="2"/>
    </row>
    <row r="41" spans="1:11" x14ac:dyDescent="0.2">
      <c r="I41" s="50"/>
      <c r="K41" s="2"/>
    </row>
    <row r="42" spans="1:11" x14ac:dyDescent="0.2">
      <c r="I42" s="50"/>
      <c r="K42" s="2"/>
    </row>
    <row r="43" spans="1:11" x14ac:dyDescent="0.2">
      <c r="I43" s="50"/>
      <c r="K43" s="2"/>
    </row>
    <row r="44" spans="1:11" x14ac:dyDescent="0.2">
      <c r="I44" s="50"/>
      <c r="K44" s="2"/>
    </row>
    <row r="45" spans="1:11" x14ac:dyDescent="0.2">
      <c r="I45" s="50"/>
      <c r="K45" s="2"/>
    </row>
    <row r="46" spans="1:11" x14ac:dyDescent="0.2">
      <c r="I46" s="50"/>
      <c r="K46" s="2"/>
    </row>
    <row r="47" spans="1:11" x14ac:dyDescent="0.2">
      <c r="I47" s="50"/>
      <c r="K47" s="2"/>
    </row>
    <row r="48" spans="1:11" x14ac:dyDescent="0.2">
      <c r="I48" s="50"/>
      <c r="K48" s="2"/>
    </row>
    <row r="49" spans="9:11" x14ac:dyDescent="0.2">
      <c r="I49" s="50"/>
      <c r="K49" s="2"/>
    </row>
    <row r="50" spans="9:11" x14ac:dyDescent="0.2">
      <c r="I50" s="50"/>
      <c r="K50" s="2"/>
    </row>
    <row r="51" spans="9:11" x14ac:dyDescent="0.2">
      <c r="I51" s="50"/>
      <c r="K51" s="2"/>
    </row>
    <row r="52" spans="9:11" x14ac:dyDescent="0.2">
      <c r="I52" s="50"/>
      <c r="K52" s="2"/>
    </row>
    <row r="53" spans="9:11" x14ac:dyDescent="0.2">
      <c r="I53" s="50"/>
      <c r="K53" s="2"/>
    </row>
    <row r="54" spans="9:11" x14ac:dyDescent="0.2">
      <c r="I54" s="50"/>
      <c r="K54" s="2"/>
    </row>
    <row r="55" spans="9:11" x14ac:dyDescent="0.2">
      <c r="I55" s="50"/>
      <c r="K55" s="2"/>
    </row>
    <row r="56" spans="9:11" x14ac:dyDescent="0.2">
      <c r="I56" s="50"/>
      <c r="K56" s="2"/>
    </row>
    <row r="57" spans="9:11" x14ac:dyDescent="0.2">
      <c r="K57" s="2"/>
    </row>
    <row r="58" spans="9:11" x14ac:dyDescent="0.2">
      <c r="K58" s="2"/>
    </row>
    <row r="59" spans="9:11" x14ac:dyDescent="0.2">
      <c r="K59" s="2"/>
    </row>
    <row r="60" spans="9:11" x14ac:dyDescent="0.2">
      <c r="K60" s="2"/>
    </row>
    <row r="61" spans="9:11" x14ac:dyDescent="0.2">
      <c r="K61" s="2"/>
    </row>
    <row r="62" spans="9:11" x14ac:dyDescent="0.2">
      <c r="K62" s="2"/>
    </row>
    <row r="63" spans="9:11" x14ac:dyDescent="0.2">
      <c r="K63" s="2"/>
    </row>
    <row r="64" spans="9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0.5" thickBot="1" x14ac:dyDescent="0.25">
      <c r="K68" s="2"/>
    </row>
    <row r="69" spans="1:11" ht="10.5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4">
    <tabColor rgb="FF92D050"/>
  </sheetPr>
  <dimension ref="A1:P67"/>
  <sheetViews>
    <sheetView showGridLines="0" topLeftCell="A19" zoomScaleNormal="100" workbookViewId="0">
      <selection activeCell="R26" sqref="R26"/>
    </sheetView>
  </sheetViews>
  <sheetFormatPr defaultColWidth="11.33203125" defaultRowHeight="10" x14ac:dyDescent="0.2"/>
  <cols>
    <col min="1" max="1" width="6.33203125" bestFit="1" customWidth="1"/>
    <col min="2" max="2" width="11.33203125" customWidth="1"/>
    <col min="3" max="3" width="15.33203125" customWidth="1"/>
    <col min="4" max="4" width="15.33203125" style="11" customWidth="1"/>
    <col min="5" max="5" width="15.33203125" customWidth="1"/>
    <col min="6" max="9" width="11.33203125" customWidth="1"/>
    <col min="10" max="10" width="12.33203125" customWidth="1"/>
  </cols>
  <sheetData>
    <row r="1" spans="1:16" ht="10.5" x14ac:dyDescent="0.25">
      <c r="A1" s="8" t="str">
        <f>'1'!$A$1</f>
        <v>Texas Windstorm Insurance Association</v>
      </c>
      <c r="B1" s="12"/>
      <c r="J1" s="7" t="s">
        <v>174</v>
      </c>
      <c r="K1" s="1"/>
      <c r="M1" s="356" t="s">
        <v>422</v>
      </c>
      <c r="O1" t="s">
        <v>428</v>
      </c>
      <c r="P1" t="s">
        <v>476</v>
      </c>
    </row>
    <row r="2" spans="1:16" ht="10.5" x14ac:dyDescent="0.25">
      <c r="A2" s="8" t="str">
        <f>'1'!$A$2</f>
        <v>Residential Property - Wind &amp; Hail</v>
      </c>
      <c r="B2" s="12"/>
      <c r="J2" s="7" t="s">
        <v>185</v>
      </c>
      <c r="K2" s="2"/>
      <c r="O2" t="s">
        <v>428</v>
      </c>
      <c r="P2" t="s">
        <v>477</v>
      </c>
    </row>
    <row r="3" spans="1:16" ht="10.5" x14ac:dyDescent="0.25">
      <c r="A3" s="8" t="str">
        <f>'1'!$A$3</f>
        <v>Rate Level Review</v>
      </c>
      <c r="B3" s="12"/>
      <c r="K3" s="2"/>
    </row>
    <row r="4" spans="1:16" x14ac:dyDescent="0.2">
      <c r="A4" t="s">
        <v>186</v>
      </c>
      <c r="B4" s="12"/>
      <c r="K4" s="2"/>
    </row>
    <row r="5" spans="1:16" x14ac:dyDescent="0.2">
      <c r="A5" t="s">
        <v>50</v>
      </c>
      <c r="B5" s="12"/>
      <c r="K5" s="2"/>
    </row>
    <row r="6" spans="1:16" x14ac:dyDescent="0.2">
      <c r="K6" s="2"/>
    </row>
    <row r="7" spans="1:16" ht="10.5" thickBot="1" x14ac:dyDescent="0.25">
      <c r="A7" s="6"/>
      <c r="B7" s="6"/>
      <c r="C7" s="6"/>
      <c r="D7" s="198"/>
      <c r="E7" s="6"/>
      <c r="K7" s="2"/>
    </row>
    <row r="8" spans="1:16" ht="10.5" thickTop="1" x14ac:dyDescent="0.2">
      <c r="D8" s="25"/>
      <c r="K8" s="2"/>
    </row>
    <row r="9" spans="1:16" x14ac:dyDescent="0.2">
      <c r="C9" s="22"/>
      <c r="D9" t="s">
        <v>37</v>
      </c>
      <c r="E9" t="s">
        <v>44</v>
      </c>
      <c r="K9" s="2"/>
      <c r="L9" s="27"/>
    </row>
    <row r="10" spans="1:16" x14ac:dyDescent="0.2">
      <c r="C10" t="s">
        <v>321</v>
      </c>
      <c r="D10" t="s">
        <v>323</v>
      </c>
      <c r="E10" t="s">
        <v>42</v>
      </c>
      <c r="K10" s="2"/>
    </row>
    <row r="11" spans="1:16" x14ac:dyDescent="0.2">
      <c r="A11" s="9" t="s">
        <v>54</v>
      </c>
      <c r="B11" s="9"/>
      <c r="C11" s="9" t="s">
        <v>44</v>
      </c>
      <c r="D11" s="26" t="s">
        <v>137</v>
      </c>
      <c r="E11" s="9" t="s">
        <v>137</v>
      </c>
      <c r="K11" s="2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6" x14ac:dyDescent="0.2">
      <c r="K13" s="2"/>
    </row>
    <row r="14" spans="1:16" x14ac:dyDescent="0.2">
      <c r="A14" t="str">
        <f t="shared" ref="A14:A22" si="0">TEXT(A15-1,"#")</f>
        <v>2012</v>
      </c>
      <c r="B14" s="25"/>
      <c r="C14" s="334">
        <f>'[3]TICO 2'!R26</f>
        <v>3294072</v>
      </c>
      <c r="D14" s="357">
        <f>'10.2'!D18</f>
        <v>1.3727418575616306</v>
      </c>
      <c r="E14" s="31">
        <f t="shared" ref="E14:E21" si="1">ROUND(C14*D14,0)</f>
        <v>4521911</v>
      </c>
      <c r="K14" s="2"/>
      <c r="L14" s="35"/>
    </row>
    <row r="15" spans="1:16" x14ac:dyDescent="0.2">
      <c r="A15" t="str">
        <f t="shared" si="0"/>
        <v>2013</v>
      </c>
      <c r="B15" s="25"/>
      <c r="C15" s="334">
        <f>'[3]TICO 2'!R27</f>
        <v>3672814</v>
      </c>
      <c r="D15" s="357">
        <f>'10.2'!D19</f>
        <v>1.3075493593415155</v>
      </c>
      <c r="E15" s="31">
        <f t="shared" si="1"/>
        <v>4802386</v>
      </c>
      <c r="K15" s="2"/>
      <c r="L15" s="35"/>
    </row>
    <row r="16" spans="1:16" x14ac:dyDescent="0.2">
      <c r="A16" t="str">
        <f t="shared" si="0"/>
        <v>2014</v>
      </c>
      <c r="B16" s="25"/>
      <c r="C16" s="334">
        <f>'[3]TICO 2'!R28</f>
        <v>3920276</v>
      </c>
      <c r="D16" s="357">
        <f>'10.2'!D20</f>
        <v>1.2455465141622073</v>
      </c>
      <c r="E16" s="31">
        <f t="shared" si="1"/>
        <v>4882886</v>
      </c>
      <c r="K16" s="2"/>
      <c r="L16" s="35"/>
    </row>
    <row r="17" spans="1:15" x14ac:dyDescent="0.2">
      <c r="A17" t="str">
        <f t="shared" si="0"/>
        <v>2015</v>
      </c>
      <c r="B17" s="25"/>
      <c r="C17" s="334">
        <f>'[3]TICO 2'!R29</f>
        <v>4202726</v>
      </c>
      <c r="D17" s="357">
        <f>'10.2'!D21</f>
        <v>1.1864644900727379</v>
      </c>
      <c r="E17" s="31">
        <f t="shared" si="1"/>
        <v>4986385</v>
      </c>
      <c r="K17" s="2"/>
      <c r="L17" s="35"/>
    </row>
    <row r="18" spans="1:15" x14ac:dyDescent="0.2">
      <c r="A18" t="str">
        <f t="shared" si="0"/>
        <v>2016</v>
      </c>
      <c r="B18" s="25"/>
      <c r="C18" s="334">
        <f>'[3]TICO 2'!R30</f>
        <v>4436708</v>
      </c>
      <c r="D18" s="357">
        <f>'10.2'!D22</f>
        <v>1.1303877408726286</v>
      </c>
      <c r="E18" s="31">
        <f t="shared" si="1"/>
        <v>5015200</v>
      </c>
      <c r="K18" s="2"/>
      <c r="L18" s="35"/>
    </row>
    <row r="19" spans="1:15" x14ac:dyDescent="0.2">
      <c r="A19" t="str">
        <f t="shared" si="0"/>
        <v>2017</v>
      </c>
      <c r="B19" s="25"/>
      <c r="C19" s="334">
        <f>'[3]TICO 2'!R31</f>
        <v>4435808</v>
      </c>
      <c r="D19" s="357">
        <f>'10.2'!D23</f>
        <v>1.1025000000000003</v>
      </c>
      <c r="E19" s="31">
        <f t="shared" si="1"/>
        <v>4890478</v>
      </c>
      <c r="K19" s="2"/>
      <c r="L19" s="35"/>
    </row>
    <row r="20" spans="1:15" x14ac:dyDescent="0.2">
      <c r="A20" t="str">
        <f t="shared" si="0"/>
        <v>2018</v>
      </c>
      <c r="B20" s="25"/>
      <c r="C20" s="334">
        <f>'[3]TICO 2'!R32</f>
        <v>4301050</v>
      </c>
      <c r="D20" s="357">
        <f>'10.2'!D24</f>
        <v>1.0768211446107889</v>
      </c>
      <c r="E20" s="31">
        <f t="shared" si="1"/>
        <v>4631462</v>
      </c>
      <c r="K20" s="2"/>
      <c r="L20" s="35" t="s">
        <v>216</v>
      </c>
    </row>
    <row r="21" spans="1:15" x14ac:dyDescent="0.2">
      <c r="A21" t="str">
        <f t="shared" si="0"/>
        <v>2019</v>
      </c>
      <c r="B21" s="25"/>
      <c r="C21" s="334">
        <f>'[3]TICO 2'!R33</f>
        <v>4296061</v>
      </c>
      <c r="D21" s="357">
        <f>'10.2'!D25</f>
        <v>1.0499999999999947</v>
      </c>
      <c r="E21" s="31">
        <f t="shared" si="1"/>
        <v>4510864</v>
      </c>
      <c r="K21" s="2"/>
      <c r="L21" s="52">
        <f>'10.1a'!$L$21</f>
        <v>44469</v>
      </c>
    </row>
    <row r="22" spans="1:15" x14ac:dyDescent="0.2">
      <c r="A22" t="str">
        <f t="shared" si="0"/>
        <v>2020</v>
      </c>
      <c r="B22" s="25"/>
      <c r="C22" s="334">
        <f>'[3]TICO 2'!R34</f>
        <v>4367811</v>
      </c>
      <c r="D22" s="357">
        <f>'10.2'!D26</f>
        <v>1.0500000000000036</v>
      </c>
      <c r="E22" s="31">
        <f>ROUND(C22*D22,0)</f>
        <v>4586202</v>
      </c>
      <c r="K22" s="2"/>
      <c r="L22" s="52"/>
      <c r="O22" s="19">
        <f>C22+'10.1c'!C22+'10.1b'!C22+'10.1a'!C22</f>
        <v>311539449</v>
      </c>
    </row>
    <row r="23" spans="1:15" x14ac:dyDescent="0.2">
      <c r="A23" s="25" t="str">
        <f>TEXT(YEAR($L$21),"#")</f>
        <v>2021</v>
      </c>
      <c r="B23" s="25"/>
      <c r="C23" s="334">
        <f>'[3]TICO 2'!R35</f>
        <v>4523216</v>
      </c>
      <c r="D23" s="357">
        <f>'10.2'!D27</f>
        <v>1.0500000000000056</v>
      </c>
      <c r="E23" s="31">
        <f>ROUND(C23*D23,0)</f>
        <v>4749377</v>
      </c>
      <c r="K23" s="2"/>
      <c r="L23" s="52"/>
      <c r="O23" s="19"/>
    </row>
    <row r="24" spans="1:15" x14ac:dyDescent="0.2">
      <c r="A24" s="9"/>
      <c r="B24" s="26"/>
      <c r="C24" s="81"/>
      <c r="D24" s="200"/>
      <c r="E24" s="67"/>
      <c r="K24" s="2"/>
    </row>
    <row r="25" spans="1:15" x14ac:dyDescent="0.2">
      <c r="C25" s="19"/>
      <c r="K25" s="2"/>
    </row>
    <row r="26" spans="1:15" x14ac:dyDescent="0.2">
      <c r="A26" t="s">
        <v>9</v>
      </c>
      <c r="C26" s="19">
        <f>SUM(C14:C24)</f>
        <v>41450542</v>
      </c>
      <c r="E26" s="19">
        <f>SUM(E14:E24)</f>
        <v>47577151</v>
      </c>
      <c r="K26" s="2"/>
    </row>
    <row r="27" spans="1:15" ht="10.5" thickBot="1" x14ac:dyDescent="0.25">
      <c r="A27" s="6"/>
      <c r="B27" s="6"/>
      <c r="C27" s="6"/>
      <c r="D27" s="198"/>
      <c r="E27" s="6"/>
      <c r="K27" s="2"/>
    </row>
    <row r="28" spans="1:15" ht="10.5" thickTop="1" x14ac:dyDescent="0.2">
      <c r="K28" s="2"/>
    </row>
    <row r="29" spans="1:15" x14ac:dyDescent="0.2">
      <c r="A29" t="s">
        <v>17</v>
      </c>
      <c r="K29" s="2"/>
    </row>
    <row r="30" spans="1:15" x14ac:dyDescent="0.2">
      <c r="B30" s="22" t="str">
        <f>C12&amp;" Provided by TWIA"</f>
        <v>(2) Provided by TWIA</v>
      </c>
      <c r="K30" s="2"/>
    </row>
    <row r="31" spans="1:15" x14ac:dyDescent="0.2">
      <c r="B31" s="22" t="str">
        <f>D12&amp;" Provided by TWIA"</f>
        <v>(3) Provided by TWIA</v>
      </c>
      <c r="K31" s="2"/>
    </row>
    <row r="32" spans="1:15" x14ac:dyDescent="0.2">
      <c r="B32" s="22" t="str">
        <f>E12&amp;" = "&amp;C12&amp;" * "&amp;D12</f>
        <v>(4) = (2) * (3)</v>
      </c>
      <c r="K32" s="2"/>
    </row>
    <row r="33" spans="1:11" x14ac:dyDescent="0.2">
      <c r="A33" s="59"/>
      <c r="B33" s="25"/>
      <c r="K33" s="2"/>
    </row>
    <row r="34" spans="1:11" x14ac:dyDescent="0.2">
      <c r="B34" s="25"/>
      <c r="K34" s="2"/>
    </row>
    <row r="35" spans="1:11" x14ac:dyDescent="0.2">
      <c r="B35" s="22"/>
      <c r="K35" s="2"/>
    </row>
    <row r="36" spans="1:11" x14ac:dyDescent="0.2">
      <c r="B36" s="22"/>
      <c r="K36" s="2"/>
    </row>
    <row r="37" spans="1:11" x14ac:dyDescent="0.2">
      <c r="K37" s="2"/>
    </row>
    <row r="38" spans="1:11" x14ac:dyDescent="0.2"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x14ac:dyDescent="0.2"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ht="10.5" thickBot="1" x14ac:dyDescent="0.25">
      <c r="K66" s="2"/>
    </row>
    <row r="67" spans="1:11" ht="10.5" thickBot="1" x14ac:dyDescent="0.25">
      <c r="A67" s="4"/>
      <c r="B67" s="5"/>
      <c r="C67" s="5"/>
      <c r="D67" s="199"/>
      <c r="E67" s="5"/>
      <c r="F67" s="5"/>
      <c r="G67" s="5"/>
      <c r="H67" s="5"/>
      <c r="I67" s="5"/>
      <c r="J67" s="5"/>
      <c r="K67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5">
    <tabColor rgb="FF92D050"/>
  </sheetPr>
  <dimension ref="A1:O43"/>
  <sheetViews>
    <sheetView showGridLines="0" topLeftCell="A22" workbookViewId="0">
      <selection activeCell="H21" sqref="H21"/>
    </sheetView>
  </sheetViews>
  <sheetFormatPr defaultColWidth="11.33203125" defaultRowHeight="10" x14ac:dyDescent="0.2"/>
  <cols>
    <col min="1" max="1" width="6.33203125" bestFit="1" customWidth="1"/>
    <col min="2" max="2" width="11.33203125" customWidth="1"/>
    <col min="3" max="3" width="15.33203125" customWidth="1"/>
    <col min="4" max="4" width="15.33203125" style="11" customWidth="1"/>
    <col min="5" max="5" width="15.33203125" customWidth="1"/>
    <col min="6" max="9" width="11.33203125" customWidth="1"/>
    <col min="10" max="10" width="12.33203125" customWidth="1"/>
    <col min="19" max="19" width="12" bestFit="1" customWidth="1"/>
  </cols>
  <sheetData>
    <row r="1" spans="1:15" ht="10.5" x14ac:dyDescent="0.25">
      <c r="A1" s="8" t="str">
        <f>'1'!$A$1</f>
        <v>Texas Windstorm Insurance Association</v>
      </c>
      <c r="B1" s="12"/>
      <c r="J1" s="7" t="s">
        <v>174</v>
      </c>
      <c r="K1" s="1"/>
      <c r="N1" t="s">
        <v>428</v>
      </c>
      <c r="O1" t="s">
        <v>437</v>
      </c>
    </row>
    <row r="2" spans="1:15" ht="10.5" x14ac:dyDescent="0.25">
      <c r="A2" s="8" t="str">
        <f>'1'!$A$2</f>
        <v>Residential Property - Wind &amp; Hail</v>
      </c>
      <c r="B2" s="12"/>
      <c r="J2" s="7" t="s">
        <v>85</v>
      </c>
      <c r="K2" s="2"/>
      <c r="N2" t="s">
        <v>428</v>
      </c>
      <c r="O2" t="s">
        <v>438</v>
      </c>
    </row>
    <row r="3" spans="1:15" ht="10.5" x14ac:dyDescent="0.25">
      <c r="A3" s="8" t="str">
        <f>'1'!$A$3</f>
        <v>Rate Level Review</v>
      </c>
      <c r="B3" s="12"/>
      <c r="K3" s="2"/>
      <c r="N3" t="s">
        <v>428</v>
      </c>
      <c r="O3" t="s">
        <v>439</v>
      </c>
    </row>
    <row r="4" spans="1:15" x14ac:dyDescent="0.2">
      <c r="A4" t="s">
        <v>186</v>
      </c>
      <c r="B4" s="12"/>
      <c r="K4" s="2"/>
    </row>
    <row r="5" spans="1:15" x14ac:dyDescent="0.2">
      <c r="B5" s="12"/>
      <c r="K5" s="2"/>
    </row>
    <row r="6" spans="1:15" x14ac:dyDescent="0.2">
      <c r="K6" s="2"/>
    </row>
    <row r="7" spans="1:15" ht="10.5" thickBot="1" x14ac:dyDescent="0.25">
      <c r="A7" s="6"/>
      <c r="B7" s="6"/>
      <c r="C7" s="6"/>
      <c r="D7" s="198"/>
      <c r="E7" s="6"/>
      <c r="K7" s="2"/>
    </row>
    <row r="8" spans="1:15" ht="10.5" thickTop="1" x14ac:dyDescent="0.2">
      <c r="K8" s="2"/>
    </row>
    <row r="9" spans="1:15" x14ac:dyDescent="0.2">
      <c r="C9" s="22" t="s">
        <v>44</v>
      </c>
      <c r="D9" s="202" t="s">
        <v>37</v>
      </c>
      <c r="E9" t="s">
        <v>44</v>
      </c>
      <c r="K9" s="2"/>
    </row>
    <row r="10" spans="1:15" x14ac:dyDescent="0.2">
      <c r="C10" t="s">
        <v>327</v>
      </c>
      <c r="D10" s="202" t="s">
        <v>323</v>
      </c>
      <c r="E10" t="s">
        <v>42</v>
      </c>
      <c r="K10" s="2"/>
    </row>
    <row r="11" spans="1:15" x14ac:dyDescent="0.2">
      <c r="A11" s="9" t="s">
        <v>54</v>
      </c>
      <c r="B11" s="9"/>
      <c r="C11" s="9" t="s">
        <v>182</v>
      </c>
      <c r="D11" s="203" t="s">
        <v>137</v>
      </c>
      <c r="E11" s="9" t="s">
        <v>137</v>
      </c>
      <c r="K11" s="2"/>
    </row>
    <row r="12" spans="1:15" x14ac:dyDescent="0.2">
      <c r="A12" s="25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5" x14ac:dyDescent="0.2">
      <c r="K13" s="2"/>
    </row>
    <row r="14" spans="1:15" x14ac:dyDescent="0.2">
      <c r="A14" s="231">
        <v>2008</v>
      </c>
      <c r="B14" s="25"/>
      <c r="C14" s="335">
        <f>'[3]TWIA 5'!G278</f>
        <v>219412771.41374999</v>
      </c>
      <c r="D14" s="264">
        <f t="shared" ref="D14:D24" si="0">E14/C14</f>
        <v>1.7320113079002217</v>
      </c>
      <c r="E14" s="335">
        <f>'[3]TWIA 5'!O278</f>
        <v>380025401.18634152</v>
      </c>
      <c r="F14" s="283"/>
      <c r="K14" s="2"/>
    </row>
    <row r="15" spans="1:15" x14ac:dyDescent="0.2">
      <c r="A15" s="231">
        <v>2009</v>
      </c>
      <c r="B15" s="25"/>
      <c r="C15" s="335">
        <f>'[3]TWIA 5'!G279</f>
        <v>250693787.58916676</v>
      </c>
      <c r="D15" s="264">
        <f t="shared" si="0"/>
        <v>1.5736409509560276</v>
      </c>
      <c r="E15" s="335">
        <f>'[3]TWIA 5'!O279</f>
        <v>394502010.30058479</v>
      </c>
      <c r="F15" s="283"/>
      <c r="K15" s="2"/>
    </row>
    <row r="16" spans="1:15" x14ac:dyDescent="0.2">
      <c r="A16" s="231">
        <v>2010</v>
      </c>
      <c r="B16" s="25"/>
      <c r="C16" s="335">
        <f>'[3]TWIA 5'!G280</f>
        <v>273154916.13250005</v>
      </c>
      <c r="D16" s="264">
        <f t="shared" si="0"/>
        <v>1.4778548957967299</v>
      </c>
      <c r="E16" s="335">
        <f>'[3]TWIA 5'!O280</f>
        <v>403683330.11736035</v>
      </c>
      <c r="F16" s="283"/>
      <c r="K16" s="2"/>
    </row>
    <row r="17" spans="1:12" x14ac:dyDescent="0.2">
      <c r="A17" s="231">
        <v>2011</v>
      </c>
      <c r="B17" s="25"/>
      <c r="C17" s="335">
        <f>'[3]TWIA 5'!G281</f>
        <v>292239326.51041698</v>
      </c>
      <c r="D17" s="264">
        <f t="shared" si="0"/>
        <v>1.4413525093000297</v>
      </c>
      <c r="E17" s="335">
        <f>'[3]TWIA 5'!O281</f>
        <v>421219886.58194017</v>
      </c>
      <c r="F17" s="283"/>
      <c r="K17" s="2"/>
    </row>
    <row r="18" spans="1:12" x14ac:dyDescent="0.2">
      <c r="A18" s="231">
        <v>2012</v>
      </c>
      <c r="B18" s="25"/>
      <c r="C18" s="335">
        <f>'[3]TWIA 5'!G282</f>
        <v>323323868.9816668</v>
      </c>
      <c r="D18" s="264">
        <f t="shared" si="0"/>
        <v>1.3727418575616306</v>
      </c>
      <c r="E18" s="335">
        <f>'[3]TWIA 5'!O282</f>
        <v>443840208.49990654</v>
      </c>
      <c r="F18" s="283"/>
      <c r="K18" s="2"/>
    </row>
    <row r="19" spans="1:12" x14ac:dyDescent="0.2">
      <c r="A19" s="231">
        <v>2013</v>
      </c>
      <c r="B19" s="25"/>
      <c r="C19" s="335">
        <f>'[3]TWIA 5'!G283</f>
        <v>346955938.10791636</v>
      </c>
      <c r="D19" s="264">
        <f t="shared" si="0"/>
        <v>1.3075493593415155</v>
      </c>
      <c r="E19" s="335">
        <f>'[3]TWIA 5'!O283</f>
        <v>453662014.59274054</v>
      </c>
      <c r="F19" s="283"/>
      <c r="K19" s="2"/>
    </row>
    <row r="20" spans="1:12" x14ac:dyDescent="0.2">
      <c r="A20" s="231">
        <v>2014</v>
      </c>
      <c r="B20" s="25"/>
      <c r="C20" s="335">
        <f>'[3]TWIA 5'!G284</f>
        <v>372022088.97291589</v>
      </c>
      <c r="D20" s="264">
        <f t="shared" si="0"/>
        <v>1.2455465141622073</v>
      </c>
      <c r="E20" s="335">
        <f>'[3]TWIA 5'!O284</f>
        <v>463370816.11155796</v>
      </c>
      <c r="F20" s="283"/>
      <c r="K20" s="2"/>
    </row>
    <row r="21" spans="1:12" x14ac:dyDescent="0.2">
      <c r="A21" s="231">
        <v>2015</v>
      </c>
      <c r="B21" s="25"/>
      <c r="C21" s="335">
        <f>'[3]TWIA 5'!G285</f>
        <v>403803905.31166744</v>
      </c>
      <c r="D21" s="264">
        <f t="shared" si="0"/>
        <v>1.1864644900727379</v>
      </c>
      <c r="E21" s="335">
        <f>'[3]TWIA 5'!O285</f>
        <v>479098994.60498762</v>
      </c>
      <c r="F21" s="283"/>
      <c r="K21" s="2"/>
    </row>
    <row r="22" spans="1:12" x14ac:dyDescent="0.2">
      <c r="A22" s="231">
        <v>2016</v>
      </c>
      <c r="B22" s="25"/>
      <c r="C22" s="335">
        <f>'[3]TWIA 5'!G286</f>
        <v>405934589.57833338</v>
      </c>
      <c r="D22" s="264">
        <f t="shared" si="0"/>
        <v>1.1303877408726286</v>
      </c>
      <c r="E22" s="335">
        <f>'[3]TWIA 5'!O286</f>
        <v>458863483.65550995</v>
      </c>
      <c r="F22" s="283"/>
      <c r="K22" s="2"/>
    </row>
    <row r="23" spans="1:12" x14ac:dyDescent="0.2">
      <c r="A23" s="25">
        <v>2017</v>
      </c>
      <c r="B23" s="25"/>
      <c r="C23" s="335">
        <f>'[3]TWIA 5'!G287</f>
        <v>376421384.29166651</v>
      </c>
      <c r="D23" s="264">
        <f t="shared" si="0"/>
        <v>1.1025000000000003</v>
      </c>
      <c r="E23" s="335">
        <f>'[3]TWIA 5'!O287</f>
        <v>415004576.18156242</v>
      </c>
      <c r="F23" s="283"/>
      <c r="K23" s="2"/>
    </row>
    <row r="24" spans="1:12" x14ac:dyDescent="0.2">
      <c r="A24" s="51">
        <v>2018</v>
      </c>
      <c r="B24" s="51"/>
      <c r="C24" s="335">
        <f>'[3]TWIA 5'!G288</f>
        <v>341468875.45833349</v>
      </c>
      <c r="D24" s="292">
        <f t="shared" si="0"/>
        <v>1.0768211446107889</v>
      </c>
      <c r="E24" s="335">
        <f>'[3]TWIA 5'!O288</f>
        <v>367700905.3200016</v>
      </c>
      <c r="F24" s="283"/>
      <c r="K24" s="2"/>
    </row>
    <row r="25" spans="1:12" x14ac:dyDescent="0.2">
      <c r="A25" s="51">
        <v>2019</v>
      </c>
      <c r="B25" s="51"/>
      <c r="C25" s="335">
        <f>'[3]TWIA 5'!G289</f>
        <v>322259385.91666698</v>
      </c>
      <c r="D25" s="292">
        <f t="shared" ref="D25:D27" si="1">E25/C25</f>
        <v>1.0499999999999947</v>
      </c>
      <c r="E25" s="335">
        <f>'[3]TWIA 5'!O289</f>
        <v>338372355.21249866</v>
      </c>
      <c r="F25" s="283"/>
      <c r="K25" s="2"/>
    </row>
    <row r="26" spans="1:12" x14ac:dyDescent="0.2">
      <c r="A26" s="51">
        <v>2020</v>
      </c>
      <c r="B26" s="51"/>
      <c r="C26" s="335">
        <f>'[3]TWIA 5'!G290</f>
        <v>311420426.08333302</v>
      </c>
      <c r="D26" s="292">
        <f t="shared" si="1"/>
        <v>1.0500000000000036</v>
      </c>
      <c r="E26" s="335">
        <f>'[3]TWIA 5'!O290</f>
        <v>326991447.38750076</v>
      </c>
      <c r="F26" s="283"/>
      <c r="K26" s="2"/>
    </row>
    <row r="27" spans="1:12" x14ac:dyDescent="0.2">
      <c r="A27" s="51">
        <v>2021</v>
      </c>
      <c r="B27" s="51"/>
      <c r="C27" s="335">
        <f>'[3]TWIA 5'!G291</f>
        <v>319441102.04166603</v>
      </c>
      <c r="D27" s="292">
        <f t="shared" si="1"/>
        <v>1.0500000000000056</v>
      </c>
      <c r="E27" s="335">
        <f>'[3]TWIA 5'!O291</f>
        <v>335413157.14375114</v>
      </c>
      <c r="F27" s="283"/>
      <c r="K27" s="2"/>
    </row>
    <row r="28" spans="1:12" x14ac:dyDescent="0.2">
      <c r="A28" s="313"/>
      <c r="B28" s="313"/>
      <c r="C28" s="319"/>
      <c r="D28" s="339"/>
      <c r="E28" s="313"/>
      <c r="K28" s="2"/>
      <c r="L28" s="79">
        <v>44561</v>
      </c>
    </row>
    <row r="29" spans="1:12" x14ac:dyDescent="0.2">
      <c r="A29" t="s">
        <v>9</v>
      </c>
      <c r="C29" s="19">
        <f>SUM(C14:C27)</f>
        <v>4558552366.3899994</v>
      </c>
      <c r="E29" s="19">
        <f>SUM(E14:E27)</f>
        <v>5681748586.896244</v>
      </c>
      <c r="K29" s="2"/>
    </row>
    <row r="30" spans="1:12" ht="10.5" thickBot="1" x14ac:dyDescent="0.25">
      <c r="A30" s="6"/>
      <c r="B30" s="6"/>
      <c r="C30" s="6"/>
      <c r="D30" s="198"/>
      <c r="E30" s="6"/>
      <c r="K30" s="2"/>
    </row>
    <row r="31" spans="1:12" ht="10.5" thickTop="1" x14ac:dyDescent="0.2">
      <c r="K31" s="2"/>
    </row>
    <row r="32" spans="1:12" x14ac:dyDescent="0.2">
      <c r="A32" t="s">
        <v>17</v>
      </c>
      <c r="K32" s="2"/>
    </row>
    <row r="33" spans="1:11" x14ac:dyDescent="0.2">
      <c r="B33" s="22" t="str">
        <f>C12&amp;" Provided by TWIA"</f>
        <v>(2) Provided by TWIA</v>
      </c>
      <c r="K33" s="2"/>
    </row>
    <row r="34" spans="1:11" x14ac:dyDescent="0.2">
      <c r="B34" s="22" t="str">
        <f>D12&amp;" Based on historical rate changes"</f>
        <v>(3) Based on historical rate changes</v>
      </c>
      <c r="K34" s="2"/>
    </row>
    <row r="35" spans="1:11" x14ac:dyDescent="0.2">
      <c r="B35" s="22" t="str">
        <f>E12&amp;" = "&amp;C12&amp;" * "&amp;D12</f>
        <v>(4) = (2) * (3)</v>
      </c>
      <c r="K35" s="2"/>
    </row>
    <row r="36" spans="1:11" x14ac:dyDescent="0.2">
      <c r="B36" s="22"/>
      <c r="K36" s="2"/>
    </row>
    <row r="37" spans="1:11" x14ac:dyDescent="0.2">
      <c r="K37" s="2"/>
    </row>
    <row r="38" spans="1:11" x14ac:dyDescent="0.2"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ht="10.5" thickBot="1" x14ac:dyDescent="0.25">
      <c r="K42" s="2"/>
    </row>
    <row r="43" spans="1:11" ht="10.5" thickBot="1" x14ac:dyDescent="0.25">
      <c r="A43" s="4"/>
      <c r="B43" s="5"/>
      <c r="C43" s="5"/>
      <c r="D43" s="199"/>
      <c r="E43" s="5"/>
      <c r="F43" s="5"/>
      <c r="G43" s="5"/>
      <c r="H43" s="5"/>
      <c r="I43" s="5"/>
      <c r="J43" s="5"/>
      <c r="K43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6">
    <tabColor rgb="FF92D050"/>
    <pageSetUpPr fitToPage="1"/>
  </sheetPr>
  <dimension ref="A1:L68"/>
  <sheetViews>
    <sheetView showGridLines="0" topLeftCell="A46" workbookViewId="0">
      <selection activeCell="I62" sqref="I62"/>
    </sheetView>
  </sheetViews>
  <sheetFormatPr defaultColWidth="11.33203125" defaultRowHeight="10" x14ac:dyDescent="0.2"/>
  <cols>
    <col min="1" max="1" width="4.44140625" customWidth="1"/>
    <col min="2" max="2" width="3.44140625" customWidth="1"/>
    <col min="3" max="3" width="34.109375" customWidth="1"/>
    <col min="4" max="7" width="12.33203125" customWidth="1"/>
    <col min="8" max="9" width="11.33203125" customWidth="1"/>
    <col min="10" max="10" width="11" customWidth="1"/>
  </cols>
  <sheetData>
    <row r="1" spans="1:12" ht="10.5" x14ac:dyDescent="0.25">
      <c r="A1" s="8" t="str">
        <f>'1'!$A$1</f>
        <v>Texas Windstorm Insurance Association</v>
      </c>
      <c r="B1" s="95"/>
      <c r="J1" s="7" t="s">
        <v>180</v>
      </c>
      <c r="K1" s="1"/>
    </row>
    <row r="2" spans="1:12" ht="10.5" x14ac:dyDescent="0.25">
      <c r="A2" s="8" t="str">
        <f>'1'!$A$2</f>
        <v>Residential Property - Wind &amp; Hail</v>
      </c>
      <c r="B2" s="95"/>
      <c r="J2" s="7" t="s">
        <v>21</v>
      </c>
      <c r="K2" s="2"/>
    </row>
    <row r="3" spans="1:12" ht="10.5" x14ac:dyDescent="0.25">
      <c r="A3" s="8" t="str">
        <f>'1'!$A$3</f>
        <v>Rate Level Review</v>
      </c>
      <c r="B3" s="95"/>
      <c r="J3" s="7"/>
      <c r="K3" s="2"/>
    </row>
    <row r="4" spans="1:12" x14ac:dyDescent="0.2">
      <c r="A4" t="s">
        <v>224</v>
      </c>
      <c r="B4" s="95"/>
      <c r="K4" s="2"/>
    </row>
    <row r="5" spans="1:12" x14ac:dyDescent="0.2">
      <c r="B5" s="95"/>
      <c r="K5" s="2"/>
    </row>
    <row r="6" spans="1:12" x14ac:dyDescent="0.2">
      <c r="K6" s="2"/>
    </row>
    <row r="7" spans="1:12" ht="10.5" thickBot="1" x14ac:dyDescent="0.25">
      <c r="A7" s="6"/>
      <c r="B7" s="6"/>
      <c r="C7" s="6"/>
      <c r="D7" s="6"/>
      <c r="E7" s="6"/>
      <c r="F7" s="6"/>
      <c r="G7" s="6"/>
      <c r="K7" s="2"/>
    </row>
    <row r="8" spans="1:12" ht="10.5" thickTop="1" x14ac:dyDescent="0.2">
      <c r="K8" s="2"/>
    </row>
    <row r="9" spans="1:12" x14ac:dyDescent="0.2">
      <c r="D9" s="96"/>
      <c r="K9" s="2"/>
      <c r="L9" s="27"/>
    </row>
    <row r="10" spans="1:12" x14ac:dyDescent="0.2">
      <c r="K10" s="2"/>
      <c r="L10" t="s">
        <v>219</v>
      </c>
    </row>
    <row r="11" spans="1:12" x14ac:dyDescent="0.2">
      <c r="A11" s="9" t="s">
        <v>188</v>
      </c>
      <c r="B11" s="9"/>
      <c r="C11" s="9"/>
      <c r="D11" s="176">
        <f>E11-1</f>
        <v>2019</v>
      </c>
      <c r="E11" s="176">
        <f>F11-1</f>
        <v>2020</v>
      </c>
      <c r="F11" s="176">
        <f>YEAR(L11)</f>
        <v>2021</v>
      </c>
      <c r="G11" s="9" t="s">
        <v>73</v>
      </c>
      <c r="K11" s="2"/>
      <c r="L11" s="89">
        <f>'[4]11.1'!$L$11</f>
        <v>44561</v>
      </c>
    </row>
    <row r="12" spans="1:12" x14ac:dyDescent="0.2">
      <c r="A12" s="13"/>
      <c r="B12" s="13"/>
      <c r="C12" s="13"/>
      <c r="D12" s="11"/>
      <c r="E12" s="11"/>
      <c r="F12" s="11"/>
      <c r="G12" s="11"/>
      <c r="K12" s="2"/>
    </row>
    <row r="13" spans="1:12" x14ac:dyDescent="0.2">
      <c r="K13" s="2"/>
    </row>
    <row r="14" spans="1:12" x14ac:dyDescent="0.2">
      <c r="A14" s="56" t="s">
        <v>189</v>
      </c>
      <c r="B14" t="s">
        <v>193</v>
      </c>
      <c r="D14" s="336">
        <f>'[4]11.1'!D14</f>
        <v>372016601</v>
      </c>
      <c r="E14" s="336">
        <f>'[4]11.1'!E14</f>
        <v>369600488</v>
      </c>
      <c r="F14" s="336">
        <f>'[4]11.1'!F14</f>
        <v>395112773</v>
      </c>
      <c r="K14" s="2"/>
      <c r="L14" s="97"/>
    </row>
    <row r="15" spans="1:12" x14ac:dyDescent="0.2">
      <c r="A15" s="56" t="s">
        <v>190</v>
      </c>
      <c r="B15" t="s">
        <v>192</v>
      </c>
      <c r="D15" s="336">
        <f>'[4]11.1'!D15</f>
        <v>381571182</v>
      </c>
      <c r="E15" s="336">
        <f>'[4]11.1'!E15</f>
        <v>369179093</v>
      </c>
      <c r="F15" s="336">
        <f>'[4]11.1'!F15</f>
        <v>378504197</v>
      </c>
      <c r="K15" s="2"/>
      <c r="L15" s="97"/>
    </row>
    <row r="16" spans="1:12" x14ac:dyDescent="0.2">
      <c r="K16" s="2"/>
      <c r="L16" s="97"/>
    </row>
    <row r="17" spans="1:12" x14ac:dyDescent="0.2">
      <c r="A17" s="56" t="s">
        <v>191</v>
      </c>
      <c r="B17" t="s">
        <v>194</v>
      </c>
      <c r="K17" s="2"/>
      <c r="L17" s="97"/>
    </row>
    <row r="18" spans="1:12" x14ac:dyDescent="0.2">
      <c r="C18" t="s">
        <v>195</v>
      </c>
      <c r="D18" s="336">
        <f>'[4]11.1'!D18</f>
        <v>59474929</v>
      </c>
      <c r="E18" s="336">
        <f>'[4]11.1'!E18</f>
        <v>59103153</v>
      </c>
      <c r="F18" s="336">
        <f>'[4]11.1'!F18</f>
        <v>63161029</v>
      </c>
      <c r="K18" s="2"/>
      <c r="L18" s="97"/>
    </row>
    <row r="19" spans="1:12" x14ac:dyDescent="0.2">
      <c r="C19" t="s">
        <v>196</v>
      </c>
      <c r="D19" s="29">
        <f>D18/D$14</f>
        <v>0.15987170690804736</v>
      </c>
      <c r="E19" s="29">
        <f>E18/E$14</f>
        <v>0.15991091710896227</v>
      </c>
      <c r="F19" s="20">
        <f>F18/F$14</f>
        <v>0.15985570023574003</v>
      </c>
      <c r="G19" s="337">
        <f>'[4]11.1'!G19</f>
        <v>0.16</v>
      </c>
      <c r="K19" s="2"/>
      <c r="L19" s="97"/>
    </row>
    <row r="20" spans="1:12" x14ac:dyDescent="0.2">
      <c r="D20" s="59"/>
      <c r="E20" s="59"/>
      <c r="K20" s="2"/>
      <c r="L20" s="97"/>
    </row>
    <row r="21" spans="1:12" x14ac:dyDescent="0.2">
      <c r="A21" s="56" t="s">
        <v>141</v>
      </c>
      <c r="B21" t="s">
        <v>197</v>
      </c>
      <c r="D21" s="59"/>
      <c r="E21" s="59"/>
      <c r="K21" s="2"/>
      <c r="L21" s="97"/>
    </row>
    <row r="22" spans="1:12" x14ac:dyDescent="0.2">
      <c r="C22" t="s">
        <v>195</v>
      </c>
      <c r="D22" s="336">
        <f>'[4]11.1'!D22</f>
        <v>0</v>
      </c>
      <c r="E22" s="336">
        <f>'[4]11.1'!E22</f>
        <v>0</v>
      </c>
      <c r="F22" s="336">
        <f>'[4]11.1'!F22</f>
        <v>0</v>
      </c>
      <c r="K22" s="2"/>
      <c r="L22" s="97"/>
    </row>
    <row r="23" spans="1:12" x14ac:dyDescent="0.2">
      <c r="C23" t="s">
        <v>196</v>
      </c>
      <c r="D23" s="29">
        <f>D22/D$14</f>
        <v>0</v>
      </c>
      <c r="E23" s="29">
        <f>E22/E$14</f>
        <v>0</v>
      </c>
      <c r="F23" s="20">
        <f>F22/F$14</f>
        <v>0</v>
      </c>
      <c r="G23" s="337">
        <f>'[4]11.1'!G23</f>
        <v>0</v>
      </c>
      <c r="K23" s="2"/>
      <c r="L23" s="97"/>
    </row>
    <row r="24" spans="1:12" x14ac:dyDescent="0.2">
      <c r="D24" s="59"/>
      <c r="E24" s="59"/>
      <c r="K24" s="2"/>
    </row>
    <row r="25" spans="1:12" x14ac:dyDescent="0.2">
      <c r="A25" s="56" t="s">
        <v>120</v>
      </c>
      <c r="B25" t="s">
        <v>198</v>
      </c>
      <c r="D25" s="59"/>
      <c r="E25" s="59"/>
      <c r="K25" s="2"/>
    </row>
    <row r="26" spans="1:12" x14ac:dyDescent="0.2">
      <c r="C26" t="s">
        <v>199</v>
      </c>
      <c r="D26" s="336">
        <f>'[4]11.1'!D26</f>
        <v>31461936</v>
      </c>
      <c r="E26" s="336">
        <f>'[4]11.1'!E26</f>
        <v>31624678</v>
      </c>
      <c r="F26" s="336">
        <f>'[4]11.1'!F26</f>
        <v>29979903</v>
      </c>
      <c r="K26" s="2"/>
    </row>
    <row r="27" spans="1:12" x14ac:dyDescent="0.2">
      <c r="D27" s="59"/>
      <c r="E27" s="59"/>
      <c r="K27" s="2"/>
    </row>
    <row r="28" spans="1:12" x14ac:dyDescent="0.2">
      <c r="B28" t="s">
        <v>200</v>
      </c>
      <c r="D28" s="59"/>
      <c r="E28" s="59"/>
      <c r="K28" s="2"/>
    </row>
    <row r="29" spans="1:12" x14ac:dyDescent="0.2">
      <c r="C29" t="s">
        <v>201</v>
      </c>
      <c r="D29" s="336">
        <f>'[4]11.1'!D29</f>
        <v>0</v>
      </c>
      <c r="E29" s="336">
        <f>'[4]11.1'!E29</f>
        <v>0</v>
      </c>
      <c r="F29" s="336">
        <f>'[4]11.1'!F29</f>
        <v>0</v>
      </c>
      <c r="K29" s="2"/>
    </row>
    <row r="30" spans="1:12" x14ac:dyDescent="0.2">
      <c r="D30" s="59"/>
      <c r="E30" s="59"/>
      <c r="K30" s="2"/>
    </row>
    <row r="31" spans="1:12" x14ac:dyDescent="0.2">
      <c r="C31" t="s">
        <v>202</v>
      </c>
      <c r="D31" s="31">
        <f>D26-SUM(D29)</f>
        <v>31461936</v>
      </c>
      <c r="E31" s="31">
        <f>E26-SUM(E29)</f>
        <v>31624678</v>
      </c>
      <c r="F31" s="31">
        <f>F26-SUM(F29)</f>
        <v>29979903</v>
      </c>
      <c r="K31" s="2"/>
    </row>
    <row r="32" spans="1:12" x14ac:dyDescent="0.2">
      <c r="B32" s="96"/>
      <c r="C32" s="22" t="s">
        <v>196</v>
      </c>
      <c r="D32" s="29">
        <f>D31/D$14</f>
        <v>8.4571322665248486E-2</v>
      </c>
      <c r="E32" s="29">
        <f>E31/E$14</f>
        <v>8.5564492003592812E-2</v>
      </c>
      <c r="F32" s="29">
        <f>F31/F$14</f>
        <v>7.5876825677817311E-2</v>
      </c>
      <c r="G32" s="337">
        <f>'[4]11.1'!G32</f>
        <v>8.2000000000000003E-2</v>
      </c>
      <c r="K32" s="2"/>
    </row>
    <row r="33" spans="1:11" x14ac:dyDescent="0.2">
      <c r="B33" s="96"/>
      <c r="C33" s="96"/>
      <c r="D33" s="59"/>
      <c r="E33" s="59"/>
      <c r="K33" s="2"/>
    </row>
    <row r="34" spans="1:11" x14ac:dyDescent="0.2">
      <c r="A34" s="56" t="s">
        <v>124</v>
      </c>
      <c r="B34" t="s">
        <v>203</v>
      </c>
      <c r="D34" s="59"/>
      <c r="E34" s="59"/>
      <c r="K34" s="2"/>
    </row>
    <row r="35" spans="1:11" x14ac:dyDescent="0.2">
      <c r="B35" s="25"/>
      <c r="C35" t="s">
        <v>195</v>
      </c>
      <c r="D35" s="336">
        <f>'[4]11.1'!D35</f>
        <v>7024246</v>
      </c>
      <c r="E35" s="336">
        <f>'[4]11.1'!E35</f>
        <v>6904349</v>
      </c>
      <c r="F35" s="336">
        <f>'[4]11.1'!F35</f>
        <v>7364210</v>
      </c>
      <c r="K35" s="2"/>
    </row>
    <row r="36" spans="1:11" x14ac:dyDescent="0.2">
      <c r="B36" s="25"/>
      <c r="C36" t="s">
        <v>196</v>
      </c>
      <c r="D36" s="20">
        <f>D35/D$14</f>
        <v>1.8881539106369073E-2</v>
      </c>
      <c r="E36" s="20">
        <f>E35/E$14</f>
        <v>1.8680573278896752E-2</v>
      </c>
      <c r="F36" s="20">
        <f>F35/F$14</f>
        <v>1.8638248376748882E-2</v>
      </c>
      <c r="G36" s="337">
        <f>'[4]11.1'!G36</f>
        <v>1.9E-2</v>
      </c>
      <c r="K36" s="2"/>
    </row>
    <row r="37" spans="1:11" x14ac:dyDescent="0.2">
      <c r="K37" s="2"/>
    </row>
    <row r="38" spans="1:11" x14ac:dyDescent="0.2">
      <c r="A38" s="56" t="s">
        <v>123</v>
      </c>
      <c r="B38" t="s">
        <v>204</v>
      </c>
      <c r="G38" s="337">
        <f>'[4]11.2'!$E$34</f>
        <v>0.19080051543466178</v>
      </c>
      <c r="H38" s="20"/>
      <c r="K38" s="2"/>
    </row>
    <row r="39" spans="1:11" x14ac:dyDescent="0.2">
      <c r="K39" s="2"/>
    </row>
    <row r="40" spans="1:11" x14ac:dyDescent="0.2">
      <c r="A40" s="256" t="str">
        <f>'[4]11.1'!A40</f>
        <v>(8)</v>
      </c>
      <c r="B40" s="256" t="str">
        <f>'[4]11.1'!B40</f>
        <v>Outstanding Class 1 Public Security Repayment</v>
      </c>
      <c r="C40" s="256"/>
      <c r="D40" s="256"/>
      <c r="E40" s="256"/>
      <c r="F40" s="256"/>
      <c r="G40" s="337">
        <f>'[4]11.1'!G40</f>
        <v>0</v>
      </c>
      <c r="K40" s="2"/>
    </row>
    <row r="41" spans="1:11" x14ac:dyDescent="0.2">
      <c r="B41" s="96"/>
      <c r="C41" s="96"/>
      <c r="K41" s="2"/>
    </row>
    <row r="42" spans="1:11" x14ac:dyDescent="0.2">
      <c r="A42" s="256" t="str">
        <f>'[4]11.1'!A42</f>
        <v>(9)</v>
      </c>
      <c r="B42" s="256" t="str">
        <f>'[4]11.1'!B42</f>
        <v>Total Fixed Expenses</v>
      </c>
      <c r="C42" s="256"/>
      <c r="D42" s="256"/>
      <c r="E42" s="256"/>
      <c r="F42" s="256"/>
      <c r="G42" s="338">
        <f>G32+G38+G40</f>
        <v>0.27280051543466177</v>
      </c>
      <c r="H42" s="256"/>
      <c r="K42" s="2"/>
    </row>
    <row r="43" spans="1:11" x14ac:dyDescent="0.2">
      <c r="K43" s="2"/>
    </row>
    <row r="44" spans="1:11" x14ac:dyDescent="0.2">
      <c r="A44" s="256" t="str">
        <f>'[4]11.1'!A44</f>
        <v>(10)</v>
      </c>
      <c r="B44" s="256" t="str">
        <f>'[4]11.1'!B44</f>
        <v>Total Variable Expenses</v>
      </c>
      <c r="C44" s="256"/>
      <c r="D44" s="256"/>
      <c r="E44" s="256"/>
      <c r="F44" s="256"/>
      <c r="G44" s="337">
        <f>'[4]11.1'!G44</f>
        <v>0.17899999999999999</v>
      </c>
      <c r="H44" s="256"/>
      <c r="K44" s="2"/>
    </row>
    <row r="45" spans="1:11" x14ac:dyDescent="0.2">
      <c r="G45" s="92"/>
      <c r="K45" s="2"/>
    </row>
    <row r="46" spans="1:11" x14ac:dyDescent="0.2">
      <c r="A46" s="256" t="str">
        <f>'[4]11.1'!A46</f>
        <v>(11)</v>
      </c>
      <c r="B46" s="256" t="str">
        <f>'[4]11.1'!B46</f>
        <v>CRTF Contribution &amp; UW Contingency &amp; Uncertainty</v>
      </c>
      <c r="C46" s="257"/>
      <c r="D46" s="257"/>
      <c r="E46" s="257"/>
      <c r="F46" s="257"/>
      <c r="G46" s="337">
        <f>'[4]11.1'!G46</f>
        <v>0.05</v>
      </c>
      <c r="K46" s="2"/>
    </row>
    <row r="47" spans="1:11" x14ac:dyDescent="0.2">
      <c r="B47" s="96"/>
      <c r="C47" s="96"/>
      <c r="K47" s="2"/>
    </row>
    <row r="48" spans="1:11" x14ac:dyDescent="0.2">
      <c r="A48" s="56" t="s">
        <v>273</v>
      </c>
      <c r="B48" t="s">
        <v>345</v>
      </c>
      <c r="G48" s="20">
        <f>1-G44-G46</f>
        <v>0.77099999999999991</v>
      </c>
      <c r="K48" s="2"/>
    </row>
    <row r="49" spans="1:11" ht="10.5" thickBot="1" x14ac:dyDescent="0.25">
      <c r="A49" s="6"/>
      <c r="B49" s="6"/>
      <c r="C49" s="6"/>
      <c r="D49" s="6"/>
      <c r="E49" s="6"/>
      <c r="F49" s="6"/>
      <c r="G49" s="6"/>
      <c r="K49" s="2"/>
    </row>
    <row r="50" spans="1:11" ht="10.5" thickTop="1" x14ac:dyDescent="0.2">
      <c r="K50" s="2"/>
    </row>
    <row r="51" spans="1:11" x14ac:dyDescent="0.2">
      <c r="A51" t="s">
        <v>17</v>
      </c>
      <c r="K51" s="2"/>
    </row>
    <row r="52" spans="1:11" x14ac:dyDescent="0.2">
      <c r="B52" s="257" t="str">
        <f>'[4]11.1'!B54</f>
        <v>(1) - (6) From TWIA's Statutory Annual Statements and Insurance Expense Exhibits</v>
      </c>
      <c r="K52" s="2"/>
    </row>
    <row r="53" spans="1:11" x14ac:dyDescent="0.2">
      <c r="B53" s="257" t="str">
        <f>'[4]11.1'!B55</f>
        <v>(7) Exhibit 11, Sheet 2</v>
      </c>
      <c r="K53" s="2"/>
    </row>
    <row r="54" spans="1:11" x14ac:dyDescent="0.2">
      <c r="B54" s="257" t="str">
        <f>'[4]11.1'!B56</f>
        <v>(8) Outstanding Class 1 Public Security issued in 2014, Security depleted due to Hurricane Harvey; Outstanding principles have been paid off in 2022</v>
      </c>
      <c r="K54" s="2"/>
    </row>
    <row r="55" spans="1:11" x14ac:dyDescent="0.2">
      <c r="B55" s="257" t="str">
        <f>'[4]11.1'!B57</f>
        <v>(9) = (5) + (7) + (8)</v>
      </c>
      <c r="K55" s="2"/>
    </row>
    <row r="56" spans="1:11" x14ac:dyDescent="0.2">
      <c r="B56" s="257" t="str">
        <f>'[4]11.1'!B58</f>
        <v>(10) = (3) + (4) + (6)</v>
      </c>
      <c r="K56" s="2"/>
    </row>
    <row r="57" spans="1:11" x14ac:dyDescent="0.2">
      <c r="B57" s="257" t="str">
        <f>'[4]11.1'!B59</f>
        <v xml:space="preserve">(11) CRTF contribution selected judgmentally </v>
      </c>
      <c r="K57" s="2"/>
    </row>
    <row r="58" spans="1:11" x14ac:dyDescent="0.2">
      <c r="B58" s="257" t="str">
        <f>'[4]11.1'!B60</f>
        <v>(12) = 100% - (10) - (11)</v>
      </c>
      <c r="K58" s="2"/>
    </row>
    <row r="59" spans="1:11" x14ac:dyDescent="0.2">
      <c r="B59" s="257"/>
      <c r="K59" s="2"/>
    </row>
    <row r="60" spans="1:11" x14ac:dyDescent="0.2">
      <c r="B60" s="257"/>
      <c r="K60" s="2"/>
    </row>
    <row r="61" spans="1:11" x14ac:dyDescent="0.2">
      <c r="K61" s="2"/>
    </row>
    <row r="62" spans="1:11" x14ac:dyDescent="0.2">
      <c r="K62" s="2"/>
    </row>
    <row r="63" spans="1:11" x14ac:dyDescent="0.2">
      <c r="D63" s="38"/>
      <c r="E63" s="38"/>
      <c r="F63" s="38"/>
      <c r="K63" s="2"/>
    </row>
    <row r="64" spans="1:11" x14ac:dyDescent="0.2">
      <c r="G64" s="20"/>
      <c r="K64" s="2"/>
    </row>
    <row r="65" spans="1:11" x14ac:dyDescent="0.2">
      <c r="A65" s="50"/>
      <c r="B65" s="50"/>
      <c r="C65" s="50"/>
      <c r="D65" s="50"/>
      <c r="E65" s="50"/>
      <c r="F65" s="50"/>
      <c r="G65" s="50"/>
      <c r="K65" s="2"/>
    </row>
    <row r="66" spans="1:11" x14ac:dyDescent="0.2">
      <c r="B66" s="96"/>
      <c r="C66" s="96"/>
      <c r="K66" s="2"/>
    </row>
    <row r="67" spans="1:11" ht="10.5" thickBot="1" x14ac:dyDescent="0.25">
      <c r="K67" s="2"/>
    </row>
    <row r="68" spans="1:11" ht="10.5" thickBot="1" x14ac:dyDescent="0.25">
      <c r="A68" s="4"/>
      <c r="B68" s="5"/>
      <c r="C68" s="5"/>
      <c r="D68" s="5"/>
      <c r="E68" s="5"/>
      <c r="F68" s="5"/>
      <c r="G68" s="5"/>
      <c r="H68" s="5"/>
      <c r="I68" s="5"/>
      <c r="J68" s="5"/>
      <c r="K68" s="3"/>
    </row>
  </sheetData>
  <phoneticPr fontId="0" type="noConversion"/>
  <pageMargins left="0.5" right="0.5" top="0.5" bottom="0.5" header="0.5" footer="0.5"/>
  <pageSetup scale="99" orientation="portrait" blackAndWhite="1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92D050"/>
  </sheetPr>
  <dimension ref="A1:O69"/>
  <sheetViews>
    <sheetView showGridLines="0" topLeftCell="A31" workbookViewId="0">
      <selection activeCell="E34" sqref="E34"/>
    </sheetView>
  </sheetViews>
  <sheetFormatPr defaultColWidth="11.33203125" defaultRowHeight="10" x14ac:dyDescent="0.2"/>
  <cols>
    <col min="1" max="2" width="4.44140625" customWidth="1"/>
    <col min="3" max="3" width="54.44140625" customWidth="1"/>
    <col min="4" max="4" width="13.33203125" customWidth="1"/>
    <col min="5" max="7" width="11.33203125" style="50" customWidth="1"/>
    <col min="8" max="8" width="10.44140625" customWidth="1"/>
  </cols>
  <sheetData>
    <row r="1" spans="1:15" ht="10.5" x14ac:dyDescent="0.25">
      <c r="A1" s="8" t="str">
        <f>'1'!$A$1</f>
        <v>Texas Windstorm Insurance Association</v>
      </c>
      <c r="C1" s="12"/>
      <c r="H1" s="186" t="s">
        <v>180</v>
      </c>
      <c r="I1" s="1"/>
    </row>
    <row r="2" spans="1:15" ht="10.5" x14ac:dyDescent="0.25">
      <c r="A2" s="8" t="str">
        <f>'1'!$A$2</f>
        <v>Residential Property - Wind &amp; Hail</v>
      </c>
      <c r="C2" s="12"/>
      <c r="H2" s="186" t="s">
        <v>85</v>
      </c>
      <c r="I2" s="2"/>
    </row>
    <row r="3" spans="1:15" ht="10.5" x14ac:dyDescent="0.25">
      <c r="A3" s="8" t="str">
        <f>'1'!$A$3</f>
        <v>Rate Level Review</v>
      </c>
      <c r="C3" s="12"/>
      <c r="H3" s="7"/>
      <c r="I3" s="2"/>
    </row>
    <row r="4" spans="1:15" x14ac:dyDescent="0.2">
      <c r="A4" t="s">
        <v>303</v>
      </c>
      <c r="C4" s="12"/>
      <c r="I4" s="2"/>
    </row>
    <row r="5" spans="1:15" x14ac:dyDescent="0.2">
      <c r="A5" s="59" t="s">
        <v>304</v>
      </c>
      <c r="C5" s="12"/>
      <c r="I5" s="2"/>
    </row>
    <row r="6" spans="1:15" x14ac:dyDescent="0.2">
      <c r="I6" s="2"/>
    </row>
    <row r="7" spans="1:15" ht="10.5" thickBot="1" x14ac:dyDescent="0.25">
      <c r="A7" s="6"/>
      <c r="B7" s="6"/>
      <c r="C7" s="6"/>
      <c r="D7" s="6" t="str">
        <f>'[4]11.2'!D$7</f>
        <v>Combined</v>
      </c>
      <c r="E7" s="6" t="str">
        <f>'[4]11.2'!E$7</f>
        <v>Residential</v>
      </c>
      <c r="F7" s="6" t="str">
        <f>'[4]11.2'!F$7</f>
        <v>Commercial</v>
      </c>
      <c r="I7" s="2"/>
    </row>
    <row r="8" spans="1:15" ht="10.5" thickTop="1" x14ac:dyDescent="0.2">
      <c r="I8" s="2"/>
      <c r="J8" t="s">
        <v>305</v>
      </c>
    </row>
    <row r="9" spans="1:15" x14ac:dyDescent="0.2">
      <c r="I9" s="2"/>
      <c r="J9" t="s">
        <v>306</v>
      </c>
      <c r="K9" t="s">
        <v>307</v>
      </c>
      <c r="L9" t="s">
        <v>308</v>
      </c>
    </row>
    <row r="10" spans="1:15" x14ac:dyDescent="0.2">
      <c r="A10" s="56" t="s">
        <v>189</v>
      </c>
      <c r="B10" t="str">
        <f>YEAR($J$10)&amp;" - "&amp;YEAR($K$10)&amp;" Reinsurance Premium"</f>
        <v>2022 - 2023 Reinsurance Premium</v>
      </c>
      <c r="D10" s="90">
        <f>'[4]11.2'!D$10</f>
        <v>116631547</v>
      </c>
      <c r="E10" s="90">
        <f>'[4]11.2'!E$10</f>
        <v>97295616.231216893</v>
      </c>
      <c r="F10" s="90">
        <f>'[4]11.2'!F$10</f>
        <v>19335930.768783104</v>
      </c>
      <c r="I10" s="2"/>
      <c r="J10" s="82">
        <f>'[4]11.2'!$J$10</f>
        <v>44713</v>
      </c>
      <c r="K10" s="82">
        <f>'[4]11.2'!$K$10</f>
        <v>45077</v>
      </c>
      <c r="L10" s="180">
        <f>DATE(YEAR(K10+1),MONTH(K10+1)-6,1)</f>
        <v>44896</v>
      </c>
    </row>
    <row r="11" spans="1:15" x14ac:dyDescent="0.2">
      <c r="I11" s="2"/>
    </row>
    <row r="12" spans="1:15" x14ac:dyDescent="0.2">
      <c r="A12" s="56" t="s">
        <v>309</v>
      </c>
      <c r="B12" t="s">
        <v>310</v>
      </c>
      <c r="I12" s="2"/>
      <c r="J12" t="s">
        <v>311</v>
      </c>
    </row>
    <row r="13" spans="1:15" x14ac:dyDescent="0.2">
      <c r="C13" s="90" t="str">
        <f>'[4]11.2'!$C$13</f>
        <v>100% of $2036M XS $2200M</v>
      </c>
      <c r="D13" s="90">
        <f>'[4]11.2'!D$13</f>
        <v>30831901.97622969</v>
      </c>
      <c r="E13" s="90">
        <f>'[4]11.2'!E$13</f>
        <v>25851653.560233299</v>
      </c>
      <c r="F13" s="90">
        <f>'[4]11.2'!F$13</f>
        <v>4980248.4159963904</v>
      </c>
      <c r="I13" s="2"/>
      <c r="J13" t="s">
        <v>221</v>
      </c>
      <c r="L13" t="s">
        <v>308</v>
      </c>
    </row>
    <row r="14" spans="1:15" x14ac:dyDescent="0.2">
      <c r="B14" s="22"/>
      <c r="C14" s="22"/>
      <c r="D14" s="59"/>
      <c r="E14" s="45"/>
      <c r="F14" s="45"/>
      <c r="I14" s="2"/>
      <c r="J14" s="84">
        <f>'[4]11.2'!$J$14</f>
        <v>44530</v>
      </c>
      <c r="L14" s="180">
        <f>J14+1</f>
        <v>44531</v>
      </c>
      <c r="O14" s="205"/>
    </row>
    <row r="15" spans="1:15" x14ac:dyDescent="0.2">
      <c r="B15" s="59"/>
      <c r="C15" s="22" t="s">
        <v>9</v>
      </c>
      <c r="D15" s="33">
        <f>SUM(D13:D13)</f>
        <v>30831901.97622969</v>
      </c>
      <c r="E15" s="33">
        <f t="shared" ref="E15:F15" si="0">SUM(E13:E13)</f>
        <v>25851653.560233299</v>
      </c>
      <c r="F15" s="33">
        <f t="shared" si="0"/>
        <v>4980248.4159963904</v>
      </c>
      <c r="I15" s="2"/>
      <c r="J15" s="93"/>
      <c r="O15" s="205"/>
    </row>
    <row r="16" spans="1:15" x14ac:dyDescent="0.2">
      <c r="B16" s="59"/>
      <c r="C16" s="59"/>
      <c r="D16" s="59"/>
      <c r="E16" s="45"/>
      <c r="F16" s="45"/>
      <c r="I16" s="2"/>
      <c r="O16" s="205"/>
    </row>
    <row r="17" spans="1:15" x14ac:dyDescent="0.2">
      <c r="A17" s="56" t="s">
        <v>313</v>
      </c>
      <c r="B17" t="s">
        <v>314</v>
      </c>
      <c r="I17" s="2"/>
      <c r="J17" t="s">
        <v>312</v>
      </c>
      <c r="O17" s="205"/>
    </row>
    <row r="18" spans="1:15" x14ac:dyDescent="0.2">
      <c r="C18" s="22" t="str">
        <f>'[4]11.2'!$C$18</f>
        <v>100% of $2036M XS $2200M</v>
      </c>
      <c r="D18" s="90">
        <f>'[4]11.2'!D$18</f>
        <v>19211332.688596342</v>
      </c>
      <c r="E18" s="90">
        <f>'[4]11.2'!E$18</f>
        <v>15895090.6111155</v>
      </c>
      <c r="F18" s="90">
        <f>'[4]11.2'!F$18</f>
        <v>3316242.07748084</v>
      </c>
      <c r="I18" s="2"/>
      <c r="J18" s="187">
        <f>'[4]11.2'!$J$18</f>
        <v>1.08</v>
      </c>
      <c r="O18" s="205"/>
    </row>
    <row r="19" spans="1:15" x14ac:dyDescent="0.2">
      <c r="A19" s="56"/>
      <c r="D19" s="31"/>
      <c r="I19" s="2"/>
      <c r="J19" t="s">
        <v>222</v>
      </c>
      <c r="O19" s="205"/>
    </row>
    <row r="20" spans="1:15" x14ac:dyDescent="0.2">
      <c r="B20" s="59"/>
      <c r="C20" s="22" t="s">
        <v>9</v>
      </c>
      <c r="D20" s="33">
        <f>SUM(D18:D18)</f>
        <v>19211332.688596342</v>
      </c>
      <c r="E20" s="33">
        <f t="shared" ref="E20:F20" si="1">SUM(E18:E18)</f>
        <v>15895090.6111155</v>
      </c>
      <c r="F20" s="33">
        <f t="shared" si="1"/>
        <v>3316242.07748084</v>
      </c>
      <c r="G20" s="45"/>
      <c r="H20" s="59"/>
      <c r="I20" s="2"/>
      <c r="J20" s="94">
        <f>ROUND(YEAR(L10)-YEAR(L14)+(MONTH(L10)-MONTH(L14))/12,3)</f>
        <v>1</v>
      </c>
      <c r="O20" s="205"/>
    </row>
    <row r="21" spans="1:15" x14ac:dyDescent="0.2">
      <c r="B21" s="59"/>
      <c r="C21" s="59"/>
      <c r="D21" s="188"/>
      <c r="E21" s="45"/>
      <c r="F21" s="45"/>
      <c r="G21" s="45"/>
      <c r="H21" s="59"/>
      <c r="I21" s="2"/>
    </row>
    <row r="22" spans="1:15" x14ac:dyDescent="0.2">
      <c r="A22" s="56" t="s">
        <v>315</v>
      </c>
      <c r="B22" t="s">
        <v>316</v>
      </c>
      <c r="C22" s="59"/>
      <c r="D22" s="90">
        <f>'[4]11.2'!D$22</f>
        <v>25021617.332413018</v>
      </c>
      <c r="E22" s="90">
        <f>'[4]11.2'!E$22</f>
        <v>20873372.085674398</v>
      </c>
      <c r="F22" s="90">
        <f>'[4]11.2'!F$22</f>
        <v>4148245.2467386154</v>
      </c>
      <c r="I22" s="2"/>
    </row>
    <row r="23" spans="1:15" x14ac:dyDescent="0.2">
      <c r="I23" s="2"/>
    </row>
    <row r="24" spans="1:15" x14ac:dyDescent="0.2">
      <c r="A24" s="56" t="s">
        <v>191</v>
      </c>
      <c r="B24" t="s">
        <v>317</v>
      </c>
      <c r="D24" s="76">
        <f>J18-1</f>
        <v>8.0000000000000071E-2</v>
      </c>
      <c r="E24" s="162">
        <f>D24</f>
        <v>8.0000000000000071E-2</v>
      </c>
      <c r="F24" s="162">
        <f>E24</f>
        <v>8.0000000000000071E-2</v>
      </c>
      <c r="I24" s="2"/>
      <c r="J24" s="232"/>
      <c r="K24" s="31"/>
      <c r="L24" s="90"/>
    </row>
    <row r="25" spans="1:15" x14ac:dyDescent="0.2">
      <c r="A25" s="59"/>
      <c r="I25" s="2"/>
      <c r="J25" s="56"/>
      <c r="K25" s="80"/>
      <c r="L25" s="80"/>
      <c r="N25" s="19"/>
    </row>
    <row r="26" spans="1:15" x14ac:dyDescent="0.2">
      <c r="A26" s="56" t="s">
        <v>141</v>
      </c>
      <c r="B26" s="45" t="s">
        <v>318</v>
      </c>
      <c r="D26" s="19">
        <f>'[4]11.2'!D$26</f>
        <v>27023347</v>
      </c>
      <c r="E26" s="19">
        <f>'[4]11.2'!E$26</f>
        <v>22543242</v>
      </c>
      <c r="F26" s="19">
        <f>'[4]11.2'!F$26</f>
        <v>4480105</v>
      </c>
      <c r="I26" s="2"/>
      <c r="K26" s="33"/>
      <c r="L26" s="80"/>
    </row>
    <row r="27" spans="1:15" x14ac:dyDescent="0.2">
      <c r="B27" s="59"/>
      <c r="C27" s="59"/>
      <c r="D27" s="59"/>
      <c r="I27" s="2"/>
    </row>
    <row r="28" spans="1:15" x14ac:dyDescent="0.2">
      <c r="A28" s="65" t="s">
        <v>120</v>
      </c>
      <c r="B28" s="59" t="s">
        <v>319</v>
      </c>
      <c r="C28" s="59"/>
      <c r="D28" s="33">
        <f>D10-D26*$J$35</f>
        <v>85554697.950000003</v>
      </c>
      <c r="E28" s="33">
        <f t="shared" ref="E28:F28" si="2">E10-E26*$J$35</f>
        <v>71370887.931216896</v>
      </c>
      <c r="F28" s="33">
        <f t="shared" si="2"/>
        <v>14183810.018783104</v>
      </c>
      <c r="I28" s="2"/>
      <c r="J28" t="s">
        <v>215</v>
      </c>
      <c r="L28" t="s">
        <v>308</v>
      </c>
    </row>
    <row r="29" spans="1:15" x14ac:dyDescent="0.2">
      <c r="I29" s="2"/>
      <c r="J29" s="89">
        <f>'[4]11.2'!$J$29</f>
        <v>44561</v>
      </c>
      <c r="L29" s="180">
        <f>DATE(YEAR(J29+1),MONTH(J29+1)-6,1)</f>
        <v>44378</v>
      </c>
    </row>
    <row r="30" spans="1:15" x14ac:dyDescent="0.2">
      <c r="A30" s="56" t="s">
        <v>124</v>
      </c>
      <c r="B30" s="22" t="str">
        <f>"TWIA "&amp;TEXT(YEAR($J$29),"#")&amp;" Earned Premium at Present Rates"</f>
        <v>TWIA 2021 Earned Premium at Present Rates</v>
      </c>
      <c r="C30" s="59"/>
      <c r="D30" s="233">
        <f>'[4]11.2'!D$30</f>
        <v>400352299.14375114</v>
      </c>
      <c r="E30" s="233">
        <f>'[4]11.2'!E$30</f>
        <v>335413157.14375114</v>
      </c>
      <c r="F30" s="233">
        <f>'[4]11.2'!F$30</f>
        <v>64939142</v>
      </c>
      <c r="I30" s="2"/>
      <c r="J30" s="59"/>
    </row>
    <row r="31" spans="1:15" x14ac:dyDescent="0.2">
      <c r="A31" s="59"/>
      <c r="B31" s="59"/>
      <c r="C31" s="59"/>
      <c r="D31" s="59"/>
      <c r="E31" s="45"/>
      <c r="F31" s="45"/>
      <c r="G31" s="45"/>
      <c r="H31" s="59"/>
      <c r="I31" s="2"/>
      <c r="J31" s="35"/>
    </row>
    <row r="32" spans="1:15" x14ac:dyDescent="0.2">
      <c r="A32" s="56" t="s">
        <v>123</v>
      </c>
      <c r="B32" t="str">
        <f>YEAR($J$10)&amp;" - "&amp;YEAR($K$10)&amp;" TWIA Prospective Earned Premium at Present Rates"</f>
        <v>2022 - 2023 TWIA Prospective Earned Premium at Present Rates</v>
      </c>
      <c r="C32" s="45"/>
      <c r="D32" s="233">
        <f>'[4]11.2'!D$32</f>
        <v>446481829</v>
      </c>
      <c r="E32" s="233">
        <f>'[4]11.2'!E$32</f>
        <v>374060247</v>
      </c>
      <c r="F32" s="233">
        <f>'[4]11.2'!F$32</f>
        <v>72421582</v>
      </c>
      <c r="G32" s="45"/>
      <c r="H32" s="59"/>
      <c r="I32" s="2"/>
      <c r="J32" t="s">
        <v>222</v>
      </c>
    </row>
    <row r="33" spans="1:12" x14ac:dyDescent="0.2">
      <c r="I33" s="2"/>
      <c r="J33" s="94">
        <f>ROUND(YEAR(L10)-YEAR(L29)+(MONTH(L10)-MONTH(L29))/12,3)</f>
        <v>1.417</v>
      </c>
      <c r="L33" s="84"/>
    </row>
    <row r="34" spans="1:12" x14ac:dyDescent="0.2">
      <c r="A34" s="56" t="s">
        <v>122</v>
      </c>
      <c r="B34" t="s">
        <v>320</v>
      </c>
      <c r="D34" s="321">
        <f>'[4]11.2'!D$34</f>
        <v>0.19161966376463666</v>
      </c>
      <c r="E34" s="321">
        <f>'[4]11.2'!E$34</f>
        <v>0.19080051543466178</v>
      </c>
      <c r="F34" s="321">
        <f>'[4]11.2'!F$34</f>
        <v>0.19585059628748655</v>
      </c>
      <c r="I34" s="2"/>
    </row>
    <row r="35" spans="1:12" ht="10.5" thickBot="1" x14ac:dyDescent="0.25">
      <c r="A35" s="6"/>
      <c r="B35" s="6"/>
      <c r="C35" s="6"/>
      <c r="D35" s="6"/>
      <c r="E35" s="6"/>
      <c r="F35" s="6"/>
      <c r="I35" s="2"/>
      <c r="J35" s="59">
        <f>1.15</f>
        <v>1.1499999999999999</v>
      </c>
    </row>
    <row r="36" spans="1:12" ht="10.5" thickTop="1" x14ac:dyDescent="0.2">
      <c r="I36" s="2"/>
    </row>
    <row r="37" spans="1:12" x14ac:dyDescent="0.2">
      <c r="A37" t="s">
        <v>17</v>
      </c>
      <c r="D37" s="45"/>
      <c r="I37" s="2"/>
    </row>
    <row r="38" spans="1:12" x14ac:dyDescent="0.2">
      <c r="B38" s="257" t="str">
        <f>'[4]11.2'!$B38</f>
        <v>(1) From TWIA reinsurance contract effective 6/1/2022 through 5/31/2023</v>
      </c>
      <c r="C38" s="284"/>
      <c r="D38" s="257"/>
      <c r="E38" s="258"/>
      <c r="F38" s="258"/>
      <c r="I38" s="2"/>
    </row>
    <row r="39" spans="1:12" x14ac:dyDescent="0.2">
      <c r="B39" s="257" t="str">
        <f>'[4]11.2'!$B39</f>
        <v>(2a) Provided by AON, based on AIR model using TWIA exposures as of 11/30/2021</v>
      </c>
      <c r="C39" s="284"/>
      <c r="D39" s="257"/>
      <c r="E39" s="258"/>
      <c r="F39" s="258"/>
      <c r="I39" s="2"/>
    </row>
    <row r="40" spans="1:12" x14ac:dyDescent="0.2">
      <c r="B40" s="257" t="str">
        <f>'[4]11.2'!$B40</f>
        <v>(2b) Provided by AON, based on RMS model using TWIA exposures as of 11/30/2021</v>
      </c>
      <c r="C40" s="284"/>
      <c r="D40" s="257"/>
      <c r="E40" s="258"/>
      <c r="F40" s="258"/>
      <c r="I40" s="2"/>
    </row>
    <row r="41" spans="1:12" x14ac:dyDescent="0.2">
      <c r="B41" s="257" t="str">
        <f>'[4]11.2'!$B41</f>
        <v>(2c) Selected equal to the average of the modeled average annual losses</v>
      </c>
      <c r="C41" s="257"/>
      <c r="D41" s="257"/>
      <c r="E41" s="258"/>
      <c r="F41" s="258"/>
      <c r="I41" s="2"/>
    </row>
    <row r="42" spans="1:12" x14ac:dyDescent="0.2">
      <c r="B42" s="257" t="str">
        <f>'[4]11.2'!$B42</f>
        <v>(3) Selected based on projections communicated to reinsurers</v>
      </c>
      <c r="C42" s="257"/>
      <c r="D42" s="257"/>
      <c r="E42" s="258"/>
      <c r="F42" s="258"/>
      <c r="I42" s="2"/>
    </row>
    <row r="43" spans="1:12" x14ac:dyDescent="0.2">
      <c r="B43" s="257" t="str">
        <f>'[4]11.2'!$B43</f>
        <v>(4) = (2c) * [(1+ (3)) ^ 1.000](projected exposure growth from 11/30/2021 to 12/1/2022)</v>
      </c>
      <c r="C43" s="284"/>
      <c r="D43" s="257"/>
      <c r="E43" s="258"/>
      <c r="F43" s="258"/>
      <c r="I43" s="2"/>
    </row>
    <row r="44" spans="1:12" x14ac:dyDescent="0.2">
      <c r="B44" s="257" t="str">
        <f>'[4]11.2'!$B44</f>
        <v>(5) = (1) - (4)*1.15,1.15 is the loading for loss adjustment factor</v>
      </c>
      <c r="C44" s="284"/>
      <c r="D44" s="257"/>
      <c r="E44" s="258"/>
      <c r="F44" s="258"/>
      <c r="I44" s="2"/>
    </row>
    <row r="45" spans="1:12" x14ac:dyDescent="0.2">
      <c r="B45" s="257" t="str">
        <f>'[4]11.2'!$B45</f>
        <v>(6) = Commercial Exhibit 10, Sheet 1 + Residential Exhibit 10, Sheet 2, calendar year ending 12/31/2021</v>
      </c>
      <c r="C45" s="284"/>
      <c r="D45" s="257"/>
      <c r="E45" s="258"/>
      <c r="F45" s="258"/>
      <c r="I45" s="2"/>
    </row>
    <row r="46" spans="1:12" x14ac:dyDescent="0.2">
      <c r="A46" s="56"/>
      <c r="B46" s="257" t="str">
        <f>'[4]11.2'!$B46</f>
        <v>(7) = (6) adjusted for exposure growth trend * [(1+ (3)) ^ 1.417] (projected exposure growth from 7/1/2021 to 12/1/2022)</v>
      </c>
      <c r="C46" s="284"/>
      <c r="D46" s="284"/>
      <c r="E46" s="322"/>
      <c r="F46" s="322"/>
      <c r="G46" s="45"/>
      <c r="H46" s="59"/>
      <c r="I46" s="2"/>
    </row>
    <row r="47" spans="1:12" x14ac:dyDescent="0.2">
      <c r="A47" s="56"/>
      <c r="B47" s="257" t="str">
        <f>'[4]11.2'!$B47</f>
        <v>(8) = (5) / (7)</v>
      </c>
      <c r="C47" s="257"/>
      <c r="D47" s="257"/>
      <c r="E47" s="258"/>
      <c r="F47" s="258"/>
      <c r="I47" s="2"/>
    </row>
    <row r="48" spans="1:12" x14ac:dyDescent="0.2">
      <c r="A48" s="50"/>
      <c r="B48" s="50"/>
      <c r="C48" s="50"/>
      <c r="D48" s="50"/>
      <c r="I48" s="2"/>
    </row>
    <row r="49" spans="1:9" x14ac:dyDescent="0.2">
      <c r="A49" s="45"/>
      <c r="C49" s="22"/>
      <c r="D49" s="45"/>
      <c r="E49" s="45"/>
      <c r="F49" s="45"/>
      <c r="G49" s="45"/>
      <c r="H49" s="59"/>
      <c r="I49" s="2"/>
    </row>
    <row r="50" spans="1:9" x14ac:dyDescent="0.2">
      <c r="A50" s="59"/>
      <c r="B50" s="59"/>
      <c r="C50" s="22"/>
      <c r="D50" s="90"/>
      <c r="E50" s="45"/>
      <c r="F50" s="45"/>
      <c r="G50" s="45"/>
      <c r="H50" s="59"/>
      <c r="I50" s="2"/>
    </row>
    <row r="51" spans="1:9" x14ac:dyDescent="0.2">
      <c r="C51" s="90"/>
      <c r="D51" s="90"/>
      <c r="E51" s="45"/>
      <c r="F51" s="45"/>
      <c r="I51" s="2"/>
    </row>
    <row r="52" spans="1:9" x14ac:dyDescent="0.2">
      <c r="C52" s="90"/>
      <c r="D52" s="90"/>
      <c r="I52" s="2"/>
    </row>
    <row r="53" spans="1:9" s="59" customFormat="1" x14ac:dyDescent="0.2">
      <c r="A53"/>
      <c r="B53"/>
      <c r="C53" s="22"/>
      <c r="D53" s="90"/>
      <c r="E53" s="50"/>
      <c r="F53" s="50"/>
      <c r="G53" s="50"/>
      <c r="H53"/>
      <c r="I53" s="2"/>
    </row>
    <row r="54" spans="1:9" s="59" customFormat="1" x14ac:dyDescent="0.2">
      <c r="A54" s="56"/>
      <c r="B54"/>
      <c r="C54"/>
      <c r="D54" s="60"/>
      <c r="E54" s="50"/>
      <c r="F54" s="50"/>
      <c r="G54" s="50"/>
      <c r="H54"/>
      <c r="I54" s="2"/>
    </row>
    <row r="55" spans="1:9" s="59" customFormat="1" x14ac:dyDescent="0.2">
      <c r="A55"/>
      <c r="B55"/>
      <c r="C55"/>
      <c r="D55"/>
      <c r="E55" s="50"/>
      <c r="F55" s="50"/>
      <c r="G55" s="50"/>
      <c r="H55"/>
      <c r="I55" s="2"/>
    </row>
    <row r="56" spans="1:9" s="59" customFormat="1" x14ac:dyDescent="0.2">
      <c r="A56" s="56"/>
      <c r="B56"/>
      <c r="C56"/>
      <c r="D56" s="19"/>
      <c r="E56" s="19"/>
      <c r="F56" s="19"/>
      <c r="G56" s="50"/>
      <c r="H56"/>
      <c r="I56" s="2"/>
    </row>
    <row r="57" spans="1:9" s="59" customFormat="1" x14ac:dyDescent="0.2">
      <c r="A57" s="50"/>
      <c r="B57" s="50"/>
      <c r="C57" s="50"/>
      <c r="D57" s="50"/>
      <c r="E57" s="50"/>
      <c r="F57" s="50"/>
      <c r="G57" s="50"/>
      <c r="H57"/>
      <c r="I57" s="2"/>
    </row>
    <row r="58" spans="1:9" s="59" customFormat="1" x14ac:dyDescent="0.2">
      <c r="A58"/>
      <c r="B58"/>
      <c r="C58"/>
      <c r="D58"/>
      <c r="E58" s="50"/>
      <c r="F58" s="50"/>
      <c r="G58" s="50"/>
      <c r="H58"/>
      <c r="I58" s="2"/>
    </row>
    <row r="59" spans="1:9" s="59" customFormat="1" x14ac:dyDescent="0.2">
      <c r="A59" s="65"/>
      <c r="B59" s="65"/>
      <c r="D59" s="38"/>
      <c r="E59" s="49"/>
      <c r="F59" s="49"/>
      <c r="G59" s="49"/>
      <c r="I59" s="2"/>
    </row>
    <row r="60" spans="1:9" s="59" customFormat="1" x14ac:dyDescent="0.2">
      <c r="A60" s="65"/>
      <c r="B60" s="65"/>
      <c r="D60" s="38"/>
      <c r="E60" s="49"/>
      <c r="F60" s="49"/>
      <c r="G60" s="49"/>
      <c r="I60" s="2"/>
    </row>
    <row r="61" spans="1:9" s="59" customFormat="1" x14ac:dyDescent="0.2">
      <c r="A61" s="65"/>
      <c r="B61" s="65"/>
      <c r="D61" s="38"/>
      <c r="E61" s="49"/>
      <c r="F61" s="49"/>
      <c r="G61" s="49"/>
      <c r="I61" s="2"/>
    </row>
    <row r="62" spans="1:9" s="59" customFormat="1" x14ac:dyDescent="0.2">
      <c r="A62" s="65"/>
      <c r="B62" s="65"/>
      <c r="D62" s="38"/>
      <c r="E62" s="49"/>
      <c r="F62" s="49"/>
      <c r="G62" s="49"/>
      <c r="I62" s="2"/>
    </row>
    <row r="63" spans="1:9" s="59" customFormat="1" x14ac:dyDescent="0.2">
      <c r="A63" s="65"/>
      <c r="B63" s="65"/>
      <c r="D63" s="38"/>
      <c r="E63" s="49"/>
      <c r="F63" s="49"/>
      <c r="G63" s="49"/>
      <c r="I63" s="2"/>
    </row>
    <row r="64" spans="1:9" s="59" customFormat="1" x14ac:dyDescent="0.2">
      <c r="A64" s="65"/>
      <c r="B64" s="65"/>
      <c r="D64" s="38"/>
      <c r="E64" s="49"/>
      <c r="F64" s="49"/>
      <c r="G64" s="49"/>
      <c r="I64" s="2"/>
    </row>
    <row r="65" spans="1:9" s="59" customFormat="1" x14ac:dyDescent="0.2">
      <c r="A65" s="65"/>
      <c r="B65" s="65"/>
      <c r="D65" s="29"/>
      <c r="E65" s="63"/>
      <c r="F65" s="63"/>
      <c r="G65" s="63"/>
      <c r="I65" s="2"/>
    </row>
    <row r="66" spans="1:9" x14ac:dyDescent="0.2">
      <c r="C66" s="25"/>
      <c r="D66" s="60"/>
      <c r="E66" s="53"/>
      <c r="F66" s="53"/>
      <c r="G66" s="53"/>
      <c r="I66" s="2"/>
    </row>
    <row r="67" spans="1:9" x14ac:dyDescent="0.2">
      <c r="C67" s="25"/>
      <c r="D67" s="60"/>
      <c r="E67" s="53"/>
      <c r="F67" s="53"/>
      <c r="G67" s="53"/>
      <c r="I67" s="2"/>
    </row>
    <row r="68" spans="1:9" ht="10.5" thickBot="1" x14ac:dyDescent="0.25">
      <c r="C68" s="25"/>
      <c r="D68" s="60"/>
      <c r="E68" s="53"/>
      <c r="F68" s="53"/>
      <c r="G68" s="53"/>
      <c r="I68" s="2"/>
    </row>
    <row r="69" spans="1:9" ht="10.5" thickBot="1" x14ac:dyDescent="0.25">
      <c r="A69" s="4"/>
      <c r="B69" s="5"/>
      <c r="C69" s="5"/>
      <c r="D69" s="5"/>
      <c r="E69" s="5"/>
      <c r="F69" s="5"/>
      <c r="G69" s="5"/>
      <c r="H69" s="5"/>
      <c r="I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8">
    <tabColor rgb="FF92D050"/>
  </sheetPr>
  <dimension ref="A1:P75"/>
  <sheetViews>
    <sheetView showGridLines="0" workbookViewId="0">
      <selection activeCell="H13" sqref="H13"/>
    </sheetView>
  </sheetViews>
  <sheetFormatPr defaultColWidth="11.33203125" defaultRowHeight="10" x14ac:dyDescent="0.2"/>
  <cols>
    <col min="1" max="1" width="5.109375" bestFit="1" customWidth="1"/>
    <col min="2" max="2" width="10" customWidth="1"/>
    <col min="3" max="8" width="14.6640625" customWidth="1"/>
    <col min="9" max="9" width="11.33203125" customWidth="1"/>
    <col min="10" max="10" width="5.6640625" customWidth="1"/>
  </cols>
  <sheetData>
    <row r="1" spans="1:16" ht="10.5" x14ac:dyDescent="0.25">
      <c r="A1" s="8" t="str">
        <f>'1'!$A$1</f>
        <v>Texas Windstorm Insurance Association</v>
      </c>
      <c r="B1" s="12"/>
      <c r="J1" s="7" t="s">
        <v>187</v>
      </c>
      <c r="K1" s="1"/>
      <c r="L1" s="359" t="s">
        <v>428</v>
      </c>
      <c r="M1" s="360" t="s">
        <v>478</v>
      </c>
      <c r="O1" t="s">
        <v>428</v>
      </c>
      <c r="P1" t="s">
        <v>434</v>
      </c>
    </row>
    <row r="2" spans="1:16" ht="10.5" x14ac:dyDescent="0.25">
      <c r="A2" s="8" t="str">
        <f>'1'!$A$2</f>
        <v>Residential Property - Wind &amp; Hail</v>
      </c>
      <c r="B2" s="12"/>
      <c r="J2" s="7"/>
      <c r="K2" s="2"/>
      <c r="L2" s="361" t="s">
        <v>428</v>
      </c>
      <c r="M2" s="220" t="s">
        <v>479</v>
      </c>
      <c r="O2" t="s">
        <v>428</v>
      </c>
      <c r="P2" t="s">
        <v>435</v>
      </c>
    </row>
    <row r="3" spans="1:16" ht="11" thickBot="1" x14ac:dyDescent="0.3">
      <c r="A3" s="8" t="str">
        <f>'1'!$A$3</f>
        <v>Rate Level Review</v>
      </c>
      <c r="B3" s="12"/>
      <c r="K3" s="2"/>
      <c r="L3" s="362" t="s">
        <v>428</v>
      </c>
      <c r="M3" s="363" t="s">
        <v>480</v>
      </c>
      <c r="O3" t="s">
        <v>428</v>
      </c>
      <c r="P3" t="s">
        <v>436</v>
      </c>
    </row>
    <row r="4" spans="1:16" x14ac:dyDescent="0.2">
      <c r="A4" t="s">
        <v>207</v>
      </c>
      <c r="B4" s="12"/>
      <c r="K4" s="2"/>
    </row>
    <row r="5" spans="1:16" x14ac:dyDescent="0.2">
      <c r="B5" s="12"/>
      <c r="K5" s="2"/>
    </row>
    <row r="6" spans="1:16" x14ac:dyDescent="0.2">
      <c r="K6" s="2"/>
    </row>
    <row r="7" spans="1:16" ht="10.5" thickBot="1" x14ac:dyDescent="0.25">
      <c r="A7" s="6"/>
      <c r="B7" s="6"/>
      <c r="C7" s="6"/>
      <c r="D7" s="6"/>
      <c r="E7" s="6"/>
      <c r="F7" s="6"/>
      <c r="G7" s="6"/>
      <c r="I7" s="50"/>
      <c r="K7" s="2"/>
    </row>
    <row r="8" spans="1:16" ht="10.5" thickTop="1" x14ac:dyDescent="0.2">
      <c r="K8" s="2"/>
    </row>
    <row r="9" spans="1:16" x14ac:dyDescent="0.2">
      <c r="C9" s="24" t="s">
        <v>209</v>
      </c>
      <c r="F9" t="s">
        <v>166</v>
      </c>
      <c r="K9" s="2"/>
      <c r="L9" s="27"/>
    </row>
    <row r="10" spans="1:16" x14ac:dyDescent="0.2">
      <c r="A10" t="s">
        <v>208</v>
      </c>
      <c r="F10" t="s">
        <v>213</v>
      </c>
      <c r="K10" s="2"/>
      <c r="L10" s="22"/>
    </row>
    <row r="11" spans="1:16" x14ac:dyDescent="0.2">
      <c r="A11" s="9" t="s">
        <v>54</v>
      </c>
      <c r="B11" s="9"/>
      <c r="C11" s="9" t="s">
        <v>210</v>
      </c>
      <c r="D11" s="9" t="s">
        <v>211</v>
      </c>
      <c r="E11" s="9" t="s">
        <v>9</v>
      </c>
      <c r="F11" s="9" t="s">
        <v>212</v>
      </c>
      <c r="G11" s="9" t="s">
        <v>214</v>
      </c>
      <c r="I11" s="50"/>
      <c r="K11" s="2"/>
      <c r="L11" s="52"/>
    </row>
    <row r="12" spans="1:16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F12" s="11" t="str">
        <f>TEXT(COLUMN()-1,"(#)")</f>
        <v>(5)</v>
      </c>
      <c r="G12" s="11" t="str">
        <f>TEXT(COLUMN()-1,"(#)")</f>
        <v>(6)</v>
      </c>
      <c r="I12" s="11"/>
      <c r="K12" s="2"/>
    </row>
    <row r="13" spans="1:16" x14ac:dyDescent="0.2">
      <c r="K13" s="2"/>
    </row>
    <row r="14" spans="1:16" x14ac:dyDescent="0.2">
      <c r="A14" s="181">
        <v>1994</v>
      </c>
      <c r="B14" s="22"/>
      <c r="C14" s="334">
        <f>'[4]12.2'!C14</f>
        <v>10672677</v>
      </c>
      <c r="D14" s="334">
        <f>'[4]12.2'!D14</f>
        <v>15758330</v>
      </c>
      <c r="E14" s="31">
        <f>SUM(C14:D14)</f>
        <v>26431007</v>
      </c>
      <c r="F14" s="334">
        <f>'[4]12.2'!F14</f>
        <v>26510501</v>
      </c>
      <c r="G14" s="77">
        <f t="shared" ref="G14:G30" si="0">E14-F14</f>
        <v>-79494</v>
      </c>
      <c r="K14" s="2"/>
      <c r="L14" s="20"/>
      <c r="M14" s="23">
        <f t="shared" ref="M14:M40" si="1">G14/F14</f>
        <v>-2.9985853530267118E-3</v>
      </c>
    </row>
    <row r="15" spans="1:16" x14ac:dyDescent="0.2">
      <c r="A15" t="str">
        <f>TEXT(A14+1,"#")</f>
        <v>1995</v>
      </c>
      <c r="B15" s="22"/>
      <c r="C15" s="334">
        <f>'[4]12.2'!C15</f>
        <v>12865905</v>
      </c>
      <c r="D15" s="334">
        <f>'[4]12.2'!D15</f>
        <v>19259265</v>
      </c>
      <c r="E15" s="31">
        <f t="shared" ref="E15:E30" si="2">SUM(C15:D15)</f>
        <v>32125170</v>
      </c>
      <c r="F15" s="334">
        <f>'[4]12.2'!F15</f>
        <v>32419287</v>
      </c>
      <c r="G15" s="77">
        <f t="shared" si="0"/>
        <v>-294117</v>
      </c>
      <c r="K15" s="2"/>
      <c r="L15" s="20"/>
      <c r="M15" s="23">
        <f t="shared" si="1"/>
        <v>-9.0722846557359516E-3</v>
      </c>
    </row>
    <row r="16" spans="1:16" x14ac:dyDescent="0.2">
      <c r="A16" t="str">
        <f t="shared" ref="A16:A30" si="3">TEXT(A15+1,"#")</f>
        <v>1996</v>
      </c>
      <c r="C16" s="334">
        <f>'[4]12.2'!C16</f>
        <v>15640660</v>
      </c>
      <c r="D16" s="334">
        <f>'[4]12.2'!D16</f>
        <v>24504127</v>
      </c>
      <c r="E16" s="31">
        <f t="shared" si="2"/>
        <v>40144787</v>
      </c>
      <c r="F16" s="334">
        <f>'[4]12.2'!F16</f>
        <v>40358575</v>
      </c>
      <c r="G16" s="77">
        <f t="shared" si="0"/>
        <v>-213788</v>
      </c>
      <c r="K16" s="2"/>
      <c r="L16" s="20"/>
      <c r="M16" s="23">
        <f t="shared" si="1"/>
        <v>-5.2972137891389871E-3</v>
      </c>
    </row>
    <row r="17" spans="1:13" x14ac:dyDescent="0.2">
      <c r="A17" t="str">
        <f t="shared" si="3"/>
        <v>1997</v>
      </c>
      <c r="C17" s="334">
        <f>'[4]12.2'!C17</f>
        <v>16536186</v>
      </c>
      <c r="D17" s="334">
        <f>'[4]12.2'!D17</f>
        <v>25783455</v>
      </c>
      <c r="E17" s="31">
        <f t="shared" si="2"/>
        <v>42319641</v>
      </c>
      <c r="F17" s="334">
        <f>'[4]12.2'!F17</f>
        <v>42462844</v>
      </c>
      <c r="G17" s="77">
        <f t="shared" si="0"/>
        <v>-143203</v>
      </c>
      <c r="K17" s="2"/>
      <c r="L17" s="20"/>
      <c r="M17" s="23">
        <f t="shared" si="1"/>
        <v>-3.3724307302638512E-3</v>
      </c>
    </row>
    <row r="18" spans="1:13" x14ac:dyDescent="0.2">
      <c r="A18" t="str">
        <f t="shared" si="3"/>
        <v>1998</v>
      </c>
      <c r="C18" s="334">
        <f>'[4]12.2'!C18</f>
        <v>16558977</v>
      </c>
      <c r="D18" s="334">
        <f>'[4]12.2'!D18</f>
        <v>27833800</v>
      </c>
      <c r="E18" s="31">
        <f t="shared" si="2"/>
        <v>44392777</v>
      </c>
      <c r="F18" s="334">
        <f>'[4]12.2'!F18</f>
        <v>44410914</v>
      </c>
      <c r="G18" s="77">
        <f t="shared" si="0"/>
        <v>-18137</v>
      </c>
      <c r="K18" s="2"/>
      <c r="L18" s="20"/>
      <c r="M18" s="23">
        <f t="shared" si="1"/>
        <v>-4.0839060416545357E-4</v>
      </c>
    </row>
    <row r="19" spans="1:13" x14ac:dyDescent="0.2">
      <c r="A19" t="str">
        <f t="shared" si="3"/>
        <v>1999</v>
      </c>
      <c r="C19" s="334">
        <f>'[4]12.2'!C19</f>
        <v>17394142.049999997</v>
      </c>
      <c r="D19" s="334">
        <f>'[4]12.2'!D19</f>
        <v>27168992</v>
      </c>
      <c r="E19" s="31">
        <f t="shared" si="2"/>
        <v>44563134.049999997</v>
      </c>
      <c r="F19" s="334">
        <f>'[4]12.2'!F19</f>
        <v>44581218</v>
      </c>
      <c r="G19" s="77">
        <f t="shared" si="0"/>
        <v>-18083.95000000298</v>
      </c>
      <c r="K19" s="2"/>
      <c r="L19" s="20"/>
      <c r="M19" s="23">
        <f t="shared" si="1"/>
        <v>-4.0564055472874203E-4</v>
      </c>
    </row>
    <row r="20" spans="1:13" x14ac:dyDescent="0.2">
      <c r="A20" t="str">
        <f t="shared" si="3"/>
        <v>2000</v>
      </c>
      <c r="C20" s="334">
        <f>'[4]12.2'!C20</f>
        <v>17332561</v>
      </c>
      <c r="D20" s="334">
        <f>'[4]12.2'!D20</f>
        <v>29762296</v>
      </c>
      <c r="E20" s="31">
        <f t="shared" si="2"/>
        <v>47094857</v>
      </c>
      <c r="F20" s="334">
        <f>'[4]12.2'!F20</f>
        <v>48012426</v>
      </c>
      <c r="G20" s="77">
        <f t="shared" si="0"/>
        <v>-917569</v>
      </c>
      <c r="K20" s="2"/>
      <c r="L20" s="20"/>
      <c r="M20" s="23">
        <f t="shared" si="1"/>
        <v>-1.911107345419288E-2</v>
      </c>
    </row>
    <row r="21" spans="1:13" x14ac:dyDescent="0.2">
      <c r="A21" t="str">
        <f t="shared" si="3"/>
        <v>2001</v>
      </c>
      <c r="C21" s="334">
        <f>'[4]12.2'!C21</f>
        <v>17544251</v>
      </c>
      <c r="D21" s="334">
        <f>'[4]12.2'!D21</f>
        <v>36220622.519999996</v>
      </c>
      <c r="E21" s="31">
        <f t="shared" si="2"/>
        <v>53764873.519999996</v>
      </c>
      <c r="F21" s="334">
        <f>'[4]12.2'!F21</f>
        <v>54630727</v>
      </c>
      <c r="G21" s="77">
        <f t="shared" si="0"/>
        <v>-865853.48000000417</v>
      </c>
      <c r="K21" s="2"/>
      <c r="L21" s="20"/>
      <c r="M21" s="23">
        <f t="shared" si="1"/>
        <v>-1.584920295862078E-2</v>
      </c>
    </row>
    <row r="22" spans="1:13" x14ac:dyDescent="0.2">
      <c r="A22" t="str">
        <f t="shared" si="3"/>
        <v>2002</v>
      </c>
      <c r="C22" s="334">
        <f>'[4]12.2'!C22</f>
        <v>24013525</v>
      </c>
      <c r="D22" s="334">
        <f>'[4]12.2'!D22</f>
        <v>48856422.25</v>
      </c>
      <c r="E22" s="31">
        <f t="shared" si="2"/>
        <v>72869947.25</v>
      </c>
      <c r="F22" s="334">
        <f>'[4]12.2'!F22</f>
        <v>72967831</v>
      </c>
      <c r="G22" s="77">
        <f t="shared" si="0"/>
        <v>-97883.75</v>
      </c>
      <c r="K22" s="2"/>
      <c r="L22" s="20"/>
      <c r="M22" s="23">
        <f t="shared" si="1"/>
        <v>-1.3414644324565438E-3</v>
      </c>
    </row>
    <row r="23" spans="1:13" x14ac:dyDescent="0.2">
      <c r="A23" t="str">
        <f t="shared" si="3"/>
        <v>2003</v>
      </c>
      <c r="C23" s="334">
        <f>'[4]12.2'!C23</f>
        <v>29220514</v>
      </c>
      <c r="D23" s="334">
        <f>'[4]12.2'!D23</f>
        <v>58573191</v>
      </c>
      <c r="E23" s="31">
        <f t="shared" si="2"/>
        <v>87793705</v>
      </c>
      <c r="F23" s="334">
        <f>'[4]12.2'!F23</f>
        <v>87987279</v>
      </c>
      <c r="G23" s="77">
        <f t="shared" si="0"/>
        <v>-193574</v>
      </c>
      <c r="K23" s="2"/>
      <c r="L23" s="20"/>
      <c r="M23" s="23">
        <f t="shared" si="1"/>
        <v>-2.2000225737177303E-3</v>
      </c>
    </row>
    <row r="24" spans="1:13" x14ac:dyDescent="0.2">
      <c r="A24" t="str">
        <f t="shared" si="3"/>
        <v>2004</v>
      </c>
      <c r="C24" s="334">
        <f>'[4]12.2'!C24</f>
        <v>31009323</v>
      </c>
      <c r="D24" s="334">
        <f>'[4]12.2'!D24</f>
        <v>71292702</v>
      </c>
      <c r="E24" s="31">
        <f t="shared" si="2"/>
        <v>102302025</v>
      </c>
      <c r="F24" s="334">
        <f>'[4]12.2'!F24</f>
        <v>102384351</v>
      </c>
      <c r="G24" s="77">
        <f t="shared" si="0"/>
        <v>-82326</v>
      </c>
      <c r="K24" s="2"/>
      <c r="L24" s="20"/>
      <c r="M24" s="23">
        <f t="shared" si="1"/>
        <v>-8.0408772625808805E-4</v>
      </c>
    </row>
    <row r="25" spans="1:13" x14ac:dyDescent="0.2">
      <c r="A25" t="str">
        <f t="shared" si="3"/>
        <v>2005</v>
      </c>
      <c r="B25" s="25"/>
      <c r="C25" s="334">
        <f>'[4]12.2'!C25</f>
        <v>35740174</v>
      </c>
      <c r="D25" s="334">
        <f>'[4]12.2'!D25</f>
        <v>78094458</v>
      </c>
      <c r="E25" s="31">
        <f t="shared" si="2"/>
        <v>113834632</v>
      </c>
      <c r="F25" s="334">
        <f>'[4]12.2'!F25</f>
        <v>113927701</v>
      </c>
      <c r="G25" s="77">
        <f t="shared" si="0"/>
        <v>-93069</v>
      </c>
      <c r="K25" s="2"/>
      <c r="L25" s="20"/>
      <c r="M25" s="23">
        <f t="shared" si="1"/>
        <v>-8.169128243885129E-4</v>
      </c>
    </row>
    <row r="26" spans="1:13" x14ac:dyDescent="0.2">
      <c r="A26" t="str">
        <f t="shared" si="3"/>
        <v>2006</v>
      </c>
      <c r="C26" s="334">
        <f>'[4]12.2'!C26</f>
        <v>76847840</v>
      </c>
      <c r="D26" s="334">
        <f>'[4]12.2'!D26</f>
        <v>119658576</v>
      </c>
      <c r="E26" s="31">
        <f t="shared" si="2"/>
        <v>196506416</v>
      </c>
      <c r="F26" s="334">
        <f>'[4]12.2'!F26</f>
        <v>196833235</v>
      </c>
      <c r="G26" s="77">
        <f t="shared" si="0"/>
        <v>-326819</v>
      </c>
      <c r="K26" s="2"/>
      <c r="L26" s="20"/>
      <c r="M26" s="23">
        <f t="shared" si="1"/>
        <v>-1.6603852494727325E-3</v>
      </c>
    </row>
    <row r="27" spans="1:13" s="59" customFormat="1" x14ac:dyDescent="0.2">
      <c r="A27" t="str">
        <f t="shared" si="3"/>
        <v>2007</v>
      </c>
      <c r="B27"/>
      <c r="C27" s="334">
        <f>'[4]12.2'!C27</f>
        <v>110951718</v>
      </c>
      <c r="D27" s="334">
        <f>'[4]12.2'!D27</f>
        <v>203561196</v>
      </c>
      <c r="E27" s="31">
        <f t="shared" si="2"/>
        <v>314512914</v>
      </c>
      <c r="F27" s="334">
        <f>'[4]12.2'!F27</f>
        <v>315139307</v>
      </c>
      <c r="G27" s="77">
        <f t="shared" si="0"/>
        <v>-626393</v>
      </c>
      <c r="H27"/>
      <c r="K27" s="2"/>
      <c r="L27" s="20"/>
      <c r="M27" s="23">
        <f t="shared" si="1"/>
        <v>-1.9876701702590213E-3</v>
      </c>
    </row>
    <row r="28" spans="1:13" x14ac:dyDescent="0.2">
      <c r="A28" s="50" t="str">
        <f t="shared" si="3"/>
        <v>2008</v>
      </c>
      <c r="B28" s="51"/>
      <c r="C28" s="334">
        <f>'[4]12.2'!C28</f>
        <v>98036118.420000017</v>
      </c>
      <c r="D28" s="334">
        <f>'[4]12.2'!D28</f>
        <v>232925989.76999998</v>
      </c>
      <c r="E28" s="31">
        <f t="shared" si="2"/>
        <v>330962108.19</v>
      </c>
      <c r="F28" s="334">
        <f>'[4]12.2'!F28</f>
        <v>331057645</v>
      </c>
      <c r="G28" s="77">
        <f t="shared" si="0"/>
        <v>-95536.810000002384</v>
      </c>
      <c r="K28" s="2"/>
      <c r="L28" s="20"/>
      <c r="M28" s="23">
        <f t="shared" si="1"/>
        <v>-2.8858058843499109E-4</v>
      </c>
    </row>
    <row r="29" spans="1:13" x14ac:dyDescent="0.2">
      <c r="A29" s="50" t="str">
        <f t="shared" si="3"/>
        <v>2009</v>
      </c>
      <c r="C29" s="334">
        <f>'[4]12.2'!C29</f>
        <v>111269572.63</v>
      </c>
      <c r="D29" s="334">
        <f>'[4]12.2'!D29</f>
        <v>269535059.02999997</v>
      </c>
      <c r="E29" s="31">
        <f t="shared" si="2"/>
        <v>380804631.65999997</v>
      </c>
      <c r="F29" s="334">
        <f>'[4]12.2'!F29</f>
        <v>382342402</v>
      </c>
      <c r="G29" s="77">
        <f t="shared" si="0"/>
        <v>-1537770.3400000334</v>
      </c>
      <c r="K29" s="2"/>
      <c r="L29" s="20"/>
      <c r="M29" s="23">
        <f t="shared" si="1"/>
        <v>-4.021971750860197E-3</v>
      </c>
    </row>
    <row r="30" spans="1:13" x14ac:dyDescent="0.2">
      <c r="A30" s="50" t="str">
        <f t="shared" si="3"/>
        <v>2010</v>
      </c>
      <c r="B30" s="25"/>
      <c r="C30" s="334">
        <f>'[4]12.2'!C30</f>
        <v>102174679.52999991</v>
      </c>
      <c r="D30" s="334">
        <f>'[4]12.2'!D30</f>
        <v>278116922.00999999</v>
      </c>
      <c r="E30" s="31">
        <f t="shared" si="2"/>
        <v>380291601.5399999</v>
      </c>
      <c r="F30" s="334">
        <f>'[4]12.2'!F30</f>
        <v>385549582</v>
      </c>
      <c r="G30" s="77">
        <f t="shared" si="0"/>
        <v>-5257980.4600000978</v>
      </c>
      <c r="K30" s="2"/>
      <c r="L30" s="20"/>
      <c r="M30" s="23">
        <f t="shared" si="1"/>
        <v>-1.3637624589617887E-2</v>
      </c>
    </row>
    <row r="31" spans="1:13" x14ac:dyDescent="0.2">
      <c r="A31" s="50" t="str">
        <f t="shared" ref="A31:A37" si="4">TEXT(A30+1,"#")</f>
        <v>2011</v>
      </c>
      <c r="B31" s="25"/>
      <c r="C31" s="334">
        <f>'[4]12.2'!C31</f>
        <v>100017021</v>
      </c>
      <c r="D31" s="334">
        <f>'[4]12.2'!D31</f>
        <v>307494236.20000005</v>
      </c>
      <c r="E31" s="31">
        <f t="shared" ref="E31:E37" si="5">SUM(C31:D31)</f>
        <v>407511257.20000005</v>
      </c>
      <c r="F31" s="334">
        <f>'[4]12.2'!F31</f>
        <v>403748164</v>
      </c>
      <c r="G31" s="77">
        <f t="shared" ref="G31:G37" si="6">E31-F31</f>
        <v>3763093.2000000477</v>
      </c>
      <c r="K31" s="2"/>
      <c r="L31" s="20"/>
      <c r="M31" s="23">
        <f t="shared" si="1"/>
        <v>9.3203970582019721E-3</v>
      </c>
    </row>
    <row r="32" spans="1:13" x14ac:dyDescent="0.2">
      <c r="A32" s="50" t="str">
        <f t="shared" si="4"/>
        <v>2012</v>
      </c>
      <c r="B32" s="25"/>
      <c r="C32" s="334">
        <f>'[4]12.2'!C32</f>
        <v>110524396.51999998</v>
      </c>
      <c r="D32" s="334">
        <f>'[4]12.2'!D32</f>
        <v>335795725.19999981</v>
      </c>
      <c r="E32" s="31">
        <f>SUM(C32:D32)</f>
        <v>446320121.71999979</v>
      </c>
      <c r="F32" s="334">
        <f>'[4]12.2'!F32</f>
        <v>443479701</v>
      </c>
      <c r="G32" s="77">
        <f t="shared" si="6"/>
        <v>2840420.7199997902</v>
      </c>
      <c r="K32" s="2"/>
      <c r="L32" s="20"/>
      <c r="M32" s="23">
        <f t="shared" si="1"/>
        <v>6.4048494521732127E-3</v>
      </c>
    </row>
    <row r="33" spans="1:13" x14ac:dyDescent="0.2">
      <c r="A33" s="166" t="str">
        <f t="shared" si="4"/>
        <v>2013</v>
      </c>
      <c r="B33" s="191"/>
      <c r="C33" s="334">
        <f>'[4]12.2'!C33</f>
        <v>112904624</v>
      </c>
      <c r="D33" s="334">
        <f>'[4]12.2'!D33</f>
        <v>360838080.7099998</v>
      </c>
      <c r="E33" s="192">
        <f t="shared" si="5"/>
        <v>473742704.7099998</v>
      </c>
      <c r="F33" s="334">
        <f>'[4]12.2'!F33</f>
        <v>472739474</v>
      </c>
      <c r="G33" s="193">
        <f>E33-F33</f>
        <v>1003230.7099997997</v>
      </c>
      <c r="K33" s="2"/>
      <c r="L33" s="20"/>
      <c r="M33" s="23">
        <f t="shared" si="1"/>
        <v>2.1221640357449814E-3</v>
      </c>
    </row>
    <row r="34" spans="1:13" x14ac:dyDescent="0.2">
      <c r="A34" s="50" t="str">
        <f t="shared" si="4"/>
        <v>2014</v>
      </c>
      <c r="B34" s="51"/>
      <c r="C34" s="334">
        <f>'[4]12.2'!C34</f>
        <v>104642688</v>
      </c>
      <c r="D34" s="334">
        <f>'[4]12.2'!D34</f>
        <v>389333918.13999987</v>
      </c>
      <c r="E34" s="120">
        <f t="shared" si="5"/>
        <v>493976606.13999987</v>
      </c>
      <c r="F34" s="334">
        <f>'[4]12.2'!F34</f>
        <v>494036010</v>
      </c>
      <c r="G34" s="155">
        <f t="shared" si="6"/>
        <v>-59403.860000133514</v>
      </c>
      <c r="K34" s="2"/>
      <c r="L34" s="20"/>
      <c r="M34" s="23">
        <f t="shared" si="1"/>
        <v>-1.2024196373890541E-4</v>
      </c>
    </row>
    <row r="35" spans="1:13" x14ac:dyDescent="0.2">
      <c r="A35" s="50" t="str">
        <f t="shared" si="4"/>
        <v>2015</v>
      </c>
      <c r="B35" s="51"/>
      <c r="C35" s="334">
        <f>'[4]12.2'!C35</f>
        <v>98715934</v>
      </c>
      <c r="D35" s="334">
        <f>'[4]12.2'!D35</f>
        <v>407969846.0800004</v>
      </c>
      <c r="E35" s="120">
        <f t="shared" si="5"/>
        <v>506685780.0800004</v>
      </c>
      <c r="F35" s="334">
        <f>'[4]12.2'!F35</f>
        <v>503824316</v>
      </c>
      <c r="G35" s="155">
        <f t="shared" si="6"/>
        <v>2861464.0800004005</v>
      </c>
      <c r="K35" s="2"/>
      <c r="L35" s="20"/>
      <c r="M35" s="23">
        <f t="shared" si="1"/>
        <v>5.6794878475067501E-3</v>
      </c>
    </row>
    <row r="36" spans="1:13" x14ac:dyDescent="0.2">
      <c r="A36" s="50" t="str">
        <f t="shared" si="4"/>
        <v>2016</v>
      </c>
      <c r="B36" s="51"/>
      <c r="C36" s="334">
        <f>'[4]12.2'!C36</f>
        <v>88278690</v>
      </c>
      <c r="D36" s="334">
        <f>'[4]12.2'!D36</f>
        <v>399074847</v>
      </c>
      <c r="E36" s="120">
        <f t="shared" si="5"/>
        <v>487353537</v>
      </c>
      <c r="F36" s="334">
        <f>'[4]12.2'!F36</f>
        <v>487353537</v>
      </c>
      <c r="G36" s="155">
        <f t="shared" si="6"/>
        <v>0</v>
      </c>
      <c r="H36" s="50"/>
      <c r="K36" s="2"/>
      <c r="L36" s="20"/>
      <c r="M36" s="23">
        <f t="shared" si="1"/>
        <v>0</v>
      </c>
    </row>
    <row r="37" spans="1:13" x14ac:dyDescent="0.2">
      <c r="A37" s="50" t="str">
        <f t="shared" si="4"/>
        <v>2017</v>
      </c>
      <c r="B37" s="51"/>
      <c r="C37" s="334">
        <f>'[4]12.2'!C37</f>
        <v>70749081</v>
      </c>
      <c r="D37" s="334">
        <f>'[4]12.2'!D37</f>
        <v>352368052</v>
      </c>
      <c r="E37" s="120">
        <f t="shared" si="5"/>
        <v>423117133</v>
      </c>
      <c r="F37" s="334">
        <f>'[4]12.2'!F37</f>
        <v>423074138</v>
      </c>
      <c r="G37" s="155">
        <f t="shared" si="6"/>
        <v>42995</v>
      </c>
      <c r="H37" s="50"/>
      <c r="K37" s="2"/>
      <c r="L37" s="20"/>
      <c r="M37" s="23">
        <f t="shared" si="1"/>
        <v>1.0162521444409348E-4</v>
      </c>
    </row>
    <row r="38" spans="1:13" x14ac:dyDescent="0.2">
      <c r="A38" s="50">
        <v>2018</v>
      </c>
      <c r="B38" s="51"/>
      <c r="C38" s="334">
        <f>'[4]12.2'!C38</f>
        <v>65696833</v>
      </c>
      <c r="D38" s="334">
        <f>'[4]12.2'!D38</f>
        <v>331676957</v>
      </c>
      <c r="E38" s="120">
        <f>SUM(C38:D38)</f>
        <v>397373790</v>
      </c>
      <c r="F38" s="334">
        <f>'[4]12.2'!F38</f>
        <v>395551679</v>
      </c>
      <c r="G38" s="155">
        <f>E38-F38</f>
        <v>1822111</v>
      </c>
      <c r="K38" s="2"/>
      <c r="M38" s="23">
        <f t="shared" si="1"/>
        <v>4.6065055383066643E-3</v>
      </c>
    </row>
    <row r="39" spans="1:13" x14ac:dyDescent="0.2">
      <c r="A39" s="50">
        <v>2019</v>
      </c>
      <c r="B39" s="51"/>
      <c r="C39" s="334">
        <f>'[4]12.2'!C39</f>
        <v>59123729</v>
      </c>
      <c r="D39" s="334">
        <f>'[4]12.2'!D39</f>
        <v>314907158.99999952</v>
      </c>
      <c r="E39" s="120">
        <f>SUM(C39:D39)</f>
        <v>374030887.99999952</v>
      </c>
      <c r="F39" s="334">
        <f>'[4]12.2'!F39</f>
        <v>372016601</v>
      </c>
      <c r="G39" s="155">
        <f>E39-F39</f>
        <v>2014286.9999995232</v>
      </c>
      <c r="K39" s="2"/>
      <c r="M39" s="23">
        <f t="shared" si="1"/>
        <v>5.4145083702851291E-3</v>
      </c>
    </row>
    <row r="40" spans="1:13" x14ac:dyDescent="0.2">
      <c r="A40" s="50">
        <v>2020</v>
      </c>
      <c r="B40" s="51"/>
      <c r="C40" s="335">
        <f>'[4]12.2'!C40</f>
        <v>60327052</v>
      </c>
      <c r="D40" s="335">
        <f>'[4]12.2'!D40</f>
        <v>310312753</v>
      </c>
      <c r="E40" s="120">
        <f>SUM(C40:D40)</f>
        <v>370639805</v>
      </c>
      <c r="F40" s="335">
        <f>'[4]12.2'!F40</f>
        <v>369600488</v>
      </c>
      <c r="G40" s="155">
        <f>E40-F40</f>
        <v>1039317</v>
      </c>
      <c r="K40" s="2"/>
      <c r="M40" s="23">
        <f t="shared" si="1"/>
        <v>2.8120011573144893E-3</v>
      </c>
    </row>
    <row r="41" spans="1:13" x14ac:dyDescent="0.2">
      <c r="A41" s="50">
        <v>2021</v>
      </c>
      <c r="B41" s="51"/>
      <c r="C41" s="335">
        <f>'[4]12.2'!C41</f>
        <v>63366551</v>
      </c>
      <c r="D41" s="335">
        <f>'[4]12.2'!D41</f>
        <v>331736850</v>
      </c>
      <c r="E41" s="120">
        <f>SUM(C41:D41)</f>
        <v>395103401</v>
      </c>
      <c r="F41" s="335">
        <f>'[4]12.2'!F41</f>
        <v>395112773</v>
      </c>
      <c r="G41" s="155">
        <f>E41-F41</f>
        <v>-9372</v>
      </c>
      <c r="K41" s="2"/>
      <c r="M41" s="23">
        <f>G41/F41</f>
        <v>-2.3719810242631666E-5</v>
      </c>
    </row>
    <row r="42" spans="1:13" x14ac:dyDescent="0.2">
      <c r="A42" s="313"/>
      <c r="B42" s="313"/>
      <c r="C42" s="313"/>
      <c r="D42" s="313"/>
      <c r="E42" s="313"/>
      <c r="F42" s="313"/>
      <c r="G42" s="313"/>
      <c r="K42" s="2"/>
    </row>
    <row r="43" spans="1:13" x14ac:dyDescent="0.2">
      <c r="A43" t="s">
        <v>9</v>
      </c>
      <c r="C43" s="77">
        <f>SUM(C14:C41)</f>
        <v>1678155423.1499999</v>
      </c>
      <c r="D43" s="77">
        <f t="shared" ref="D43:G43" si="7">SUM(D14:D41)</f>
        <v>5408413827.9099998</v>
      </c>
      <c r="E43" s="77">
        <f t="shared" si="7"/>
        <v>7086569251.0599995</v>
      </c>
      <c r="F43" s="77">
        <f t="shared" si="7"/>
        <v>7082112706</v>
      </c>
      <c r="G43" s="77">
        <f t="shared" si="7"/>
        <v>4456545.0599992871</v>
      </c>
      <c r="K43" s="2"/>
    </row>
    <row r="44" spans="1:13" ht="10.5" thickBot="1" x14ac:dyDescent="0.25">
      <c r="A44" s="6"/>
      <c r="B44" s="6"/>
      <c r="C44" s="6"/>
      <c r="D44" s="6"/>
      <c r="E44" s="6"/>
      <c r="F44" s="6"/>
      <c r="G44" s="6"/>
      <c r="K44" s="2"/>
    </row>
    <row r="45" spans="1:13" ht="10.5" thickTop="1" x14ac:dyDescent="0.2">
      <c r="K45" s="2"/>
      <c r="L45" s="93"/>
    </row>
    <row r="46" spans="1:13" x14ac:dyDescent="0.2">
      <c r="A46" t="s">
        <v>17</v>
      </c>
      <c r="F46" s="45"/>
      <c r="K46" s="2"/>
    </row>
    <row r="47" spans="1:13" x14ac:dyDescent="0.2">
      <c r="B47" s="22" t="str">
        <f>'[4]12.2'!$B$47</f>
        <v>(2), (3) Provided by TWIA, as of 12/31/2021</v>
      </c>
      <c r="K47" s="2"/>
    </row>
    <row r="48" spans="1:13" x14ac:dyDescent="0.2">
      <c r="B48" s="22" t="str">
        <f>E12&amp;" = "&amp;C12&amp;" + "&amp;D12</f>
        <v>(4) = (2) + (3)</v>
      </c>
      <c r="K48" s="2"/>
    </row>
    <row r="49" spans="1:11" x14ac:dyDescent="0.2">
      <c r="B49" s="22" t="str">
        <f>F12&amp;" Based on TWIA Annual Statements"</f>
        <v>(5) Based on TWIA Annual Statements</v>
      </c>
      <c r="C49" s="59"/>
      <c r="D49" s="59"/>
      <c r="E49" s="59"/>
      <c r="F49" s="59"/>
      <c r="G49" s="59"/>
      <c r="K49" s="2"/>
    </row>
    <row r="50" spans="1:11" x14ac:dyDescent="0.2">
      <c r="B50" s="22" t="str">
        <f>G12&amp;" = "&amp;E12&amp;" - "&amp;F12</f>
        <v>(6) = (4) - (5)</v>
      </c>
      <c r="H50" s="45"/>
      <c r="I50" s="45"/>
      <c r="K50" s="2"/>
    </row>
    <row r="51" spans="1:11" x14ac:dyDescent="0.2">
      <c r="B51" s="22"/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K55" s="2"/>
    </row>
    <row r="56" spans="1:11" s="59" customFormat="1" x14ac:dyDescent="0.2">
      <c r="A56"/>
      <c r="B56"/>
      <c r="C56"/>
      <c r="D56"/>
      <c r="E56"/>
      <c r="F56"/>
      <c r="G56"/>
      <c r="H56"/>
      <c r="I56"/>
      <c r="K56" s="2"/>
    </row>
    <row r="57" spans="1:11" s="59" customFormat="1" x14ac:dyDescent="0.2">
      <c r="A57"/>
      <c r="B57"/>
      <c r="C57"/>
      <c r="D57"/>
      <c r="E57"/>
      <c r="F57"/>
      <c r="G57"/>
      <c r="K57" s="2"/>
    </row>
    <row r="58" spans="1:11" s="59" customFormat="1" x14ac:dyDescent="0.2">
      <c r="K58" s="2"/>
    </row>
    <row r="59" spans="1:11" s="59" customFormat="1" x14ac:dyDescent="0.2">
      <c r="C59" s="22"/>
      <c r="K59" s="2"/>
    </row>
    <row r="60" spans="1:11" s="59" customFormat="1" x14ac:dyDescent="0.2">
      <c r="H60" s="45"/>
      <c r="I60" s="45"/>
      <c r="K60" s="2"/>
    </row>
    <row r="61" spans="1:11" s="59" customFormat="1" x14ac:dyDescent="0.2">
      <c r="A61" s="45"/>
      <c r="B61" s="45"/>
      <c r="C61" s="45"/>
      <c r="D61" s="45"/>
      <c r="E61" s="45"/>
      <c r="F61" s="45"/>
      <c r="G61" s="45"/>
      <c r="K61" s="2"/>
    </row>
    <row r="62" spans="1:11" s="59" customFormat="1" x14ac:dyDescent="0.2">
      <c r="H62" s="33"/>
      <c r="I62" s="33"/>
      <c r="K62" s="2"/>
    </row>
    <row r="63" spans="1:11" s="59" customFormat="1" x14ac:dyDescent="0.2">
      <c r="A63" s="65"/>
      <c r="C63" s="38"/>
      <c r="D63" s="38"/>
      <c r="E63" s="38"/>
      <c r="F63" s="38"/>
      <c r="G63" s="33"/>
      <c r="H63" s="33"/>
      <c r="I63" s="33"/>
      <c r="K63" s="2"/>
    </row>
    <row r="64" spans="1:11" s="59" customFormat="1" x14ac:dyDescent="0.2">
      <c r="A64" s="65"/>
      <c r="C64" s="38"/>
      <c r="D64" s="38"/>
      <c r="E64" s="38"/>
      <c r="F64" s="38"/>
      <c r="G64" s="33"/>
      <c r="H64" s="33"/>
      <c r="I64" s="33"/>
      <c r="K64" s="2"/>
    </row>
    <row r="65" spans="1:11" s="59" customFormat="1" x14ac:dyDescent="0.2">
      <c r="A65" s="65"/>
      <c r="C65" s="38"/>
      <c r="D65" s="38"/>
      <c r="E65" s="38"/>
      <c r="F65" s="38"/>
      <c r="G65" s="33"/>
      <c r="H65" s="33"/>
      <c r="I65" s="33"/>
      <c r="K65" s="2"/>
    </row>
    <row r="66" spans="1:11" s="59" customFormat="1" x14ac:dyDescent="0.2">
      <c r="A66" s="65"/>
      <c r="C66" s="38"/>
      <c r="D66" s="38"/>
      <c r="E66" s="38"/>
      <c r="F66" s="38"/>
      <c r="G66" s="33"/>
      <c r="H66" s="33"/>
      <c r="I66" s="33"/>
      <c r="K66" s="2"/>
    </row>
    <row r="67" spans="1:11" s="59" customFormat="1" x14ac:dyDescent="0.2">
      <c r="A67" s="65"/>
      <c r="C67" s="38"/>
      <c r="D67" s="38"/>
      <c r="E67" s="38"/>
      <c r="F67" s="38"/>
      <c r="G67" s="33"/>
      <c r="H67" s="33"/>
      <c r="I67" s="33"/>
      <c r="K67" s="2"/>
    </row>
    <row r="68" spans="1:11" s="59" customFormat="1" x14ac:dyDescent="0.2">
      <c r="A68" s="65"/>
      <c r="C68" s="38"/>
      <c r="D68" s="38"/>
      <c r="E68" s="38"/>
      <c r="F68" s="38"/>
      <c r="G68" s="33"/>
      <c r="H68" s="33"/>
      <c r="I68" s="33"/>
      <c r="K68" s="2"/>
    </row>
    <row r="69" spans="1:11" x14ac:dyDescent="0.2">
      <c r="A69" s="65"/>
      <c r="B69" s="59"/>
      <c r="C69" s="38"/>
      <c r="D69" s="38"/>
      <c r="E69" s="38"/>
      <c r="F69" s="38"/>
      <c r="G69" s="33"/>
      <c r="H69" s="29"/>
      <c r="I69" s="29"/>
      <c r="K69" s="2"/>
    </row>
    <row r="70" spans="1:11" x14ac:dyDescent="0.2">
      <c r="A70" s="65"/>
      <c r="B70" s="59"/>
      <c r="C70" s="29"/>
      <c r="D70" s="29"/>
      <c r="E70" s="29"/>
      <c r="F70" s="29"/>
      <c r="G70" s="29"/>
      <c r="K70" s="2"/>
    </row>
    <row r="71" spans="1:11" ht="10.5" thickBot="1" x14ac:dyDescent="0.25">
      <c r="B71" s="25"/>
      <c r="C71" s="60"/>
      <c r="D71" s="60"/>
      <c r="E71" s="60"/>
      <c r="F71" s="60"/>
      <c r="G71" s="23"/>
      <c r="K71" s="2"/>
    </row>
    <row r="72" spans="1:11" ht="10.5" hidden="1" thickBot="1" x14ac:dyDescent="0.25">
      <c r="B72" s="25"/>
      <c r="C72" s="60"/>
      <c r="D72" s="60"/>
      <c r="E72" s="60"/>
      <c r="F72" s="60"/>
      <c r="G72" s="23"/>
      <c r="K72" s="2"/>
    </row>
    <row r="73" spans="1:11" ht="10.5" thickBot="1" x14ac:dyDescent="0.25">
      <c r="A73" s="4"/>
      <c r="B73" s="5"/>
      <c r="C73" s="5"/>
      <c r="D73" s="5"/>
      <c r="E73" s="5"/>
      <c r="F73" s="5"/>
      <c r="G73" s="5"/>
      <c r="H73" s="5"/>
      <c r="I73" s="5"/>
      <c r="J73" s="5"/>
      <c r="K73" s="3"/>
    </row>
    <row r="75" spans="1:11" x14ac:dyDescent="0.2">
      <c r="B75" s="25"/>
      <c r="C75" s="60"/>
      <c r="D75" s="60"/>
      <c r="E75" s="60"/>
      <c r="F75" s="60"/>
      <c r="G75" s="2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tabColor rgb="FF92D050"/>
  </sheetPr>
  <dimension ref="A1:M69"/>
  <sheetViews>
    <sheetView showGridLines="0" topLeftCell="A46" zoomScaleNormal="100" workbookViewId="0">
      <selection activeCell="H30" sqref="H30"/>
    </sheetView>
  </sheetViews>
  <sheetFormatPr defaultColWidth="11.33203125" defaultRowHeight="10" x14ac:dyDescent="0.2"/>
  <cols>
    <col min="1" max="1" width="5.109375" bestFit="1" customWidth="1"/>
    <col min="2" max="2" width="11.33203125" customWidth="1"/>
    <col min="3" max="6" width="13" customWidth="1"/>
    <col min="7" max="7" width="15.6640625" customWidth="1"/>
    <col min="8" max="8" width="16.33203125" customWidth="1"/>
    <col min="9" max="9" width="11.33203125" customWidth="1"/>
    <col min="10" max="10" width="9.44140625" customWidth="1"/>
  </cols>
  <sheetData>
    <row r="1" spans="1:13" ht="10.5" x14ac:dyDescent="0.25">
      <c r="A1" s="8" t="str">
        <f>'1'!$A$1</f>
        <v>Texas Windstorm Insurance Association</v>
      </c>
      <c r="B1" s="12"/>
      <c r="I1" s="50"/>
      <c r="J1" s="7" t="s">
        <v>20</v>
      </c>
      <c r="K1" s="1"/>
      <c r="M1" t="s">
        <v>346</v>
      </c>
    </row>
    <row r="2" spans="1:13" ht="10.5" x14ac:dyDescent="0.25">
      <c r="A2" s="8" t="str">
        <f>'1'!$A$2</f>
        <v>Residential Property - Wind &amp; Hail</v>
      </c>
      <c r="B2" s="12"/>
      <c r="I2" s="50"/>
      <c r="J2" s="7" t="s">
        <v>46</v>
      </c>
      <c r="K2" s="2"/>
    </row>
    <row r="3" spans="1:13" ht="10.5" x14ac:dyDescent="0.25">
      <c r="A3" s="8" t="str">
        <f>'1'!$A$3</f>
        <v>Rate Level Review</v>
      </c>
      <c r="B3" s="12"/>
      <c r="I3" s="50"/>
      <c r="J3" s="126"/>
      <c r="K3" s="2"/>
    </row>
    <row r="4" spans="1:13" x14ac:dyDescent="0.2">
      <c r="A4" t="s">
        <v>322</v>
      </c>
      <c r="B4" s="12"/>
      <c r="I4" s="50"/>
      <c r="K4" s="2"/>
    </row>
    <row r="5" spans="1:13" x14ac:dyDescent="0.2">
      <c r="A5" t="s">
        <v>45</v>
      </c>
      <c r="B5" s="12"/>
      <c r="I5" s="50"/>
      <c r="K5" s="2"/>
    </row>
    <row r="6" spans="1:13" x14ac:dyDescent="0.2">
      <c r="I6" s="50"/>
      <c r="K6" s="2"/>
    </row>
    <row r="7" spans="1:13" ht="10.5" thickBot="1" x14ac:dyDescent="0.25">
      <c r="A7" s="6"/>
      <c r="B7" s="6"/>
      <c r="C7" s="6"/>
      <c r="D7" s="6"/>
      <c r="E7" s="6"/>
      <c r="F7" s="6"/>
      <c r="G7" s="6"/>
      <c r="H7" s="6"/>
      <c r="I7" s="50"/>
      <c r="K7" s="2"/>
    </row>
    <row r="8" spans="1:13" ht="10.5" thickTop="1" x14ac:dyDescent="0.2">
      <c r="I8" s="50"/>
      <c r="K8" s="2"/>
    </row>
    <row r="9" spans="1:13" x14ac:dyDescent="0.2">
      <c r="A9" t="s">
        <v>33</v>
      </c>
      <c r="C9" s="22" t="s">
        <v>35</v>
      </c>
      <c r="E9" t="s">
        <v>38</v>
      </c>
      <c r="F9" t="s">
        <v>40</v>
      </c>
      <c r="G9" t="s">
        <v>44</v>
      </c>
      <c r="H9" t="s">
        <v>13</v>
      </c>
      <c r="I9" s="50"/>
      <c r="K9" s="2"/>
      <c r="L9" s="27"/>
    </row>
    <row r="10" spans="1:13" x14ac:dyDescent="0.2">
      <c r="A10" t="s">
        <v>34</v>
      </c>
      <c r="C10" t="s">
        <v>8</v>
      </c>
      <c r="D10" t="s">
        <v>36</v>
      </c>
      <c r="E10" t="s">
        <v>39</v>
      </c>
      <c r="F10" t="s">
        <v>8</v>
      </c>
      <c r="G10" t="s">
        <v>42</v>
      </c>
      <c r="H10" t="s">
        <v>8</v>
      </c>
      <c r="I10" s="50"/>
      <c r="K10" s="2"/>
      <c r="L10" t="s">
        <v>217</v>
      </c>
    </row>
    <row r="11" spans="1:13" x14ac:dyDescent="0.2">
      <c r="A11" s="9" t="str">
        <f>TEXT($L$11,"m/d/xx")</f>
        <v>9/30/xx</v>
      </c>
      <c r="B11" s="9"/>
      <c r="C11" s="9" t="s">
        <v>41</v>
      </c>
      <c r="D11" s="9" t="s">
        <v>37</v>
      </c>
      <c r="E11" s="9" t="s">
        <v>37</v>
      </c>
      <c r="F11" s="9" t="s">
        <v>11</v>
      </c>
      <c r="G11" s="9" t="s">
        <v>43</v>
      </c>
      <c r="H11" s="9" t="s">
        <v>29</v>
      </c>
      <c r="I11" s="50"/>
      <c r="K11" s="2"/>
      <c r="L11" s="84">
        <f>'2.4a'!L$22</f>
        <v>44469</v>
      </c>
    </row>
    <row r="12" spans="1:13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3"/>
      <c r="K12" s="2"/>
    </row>
    <row r="13" spans="1:13" x14ac:dyDescent="0.2">
      <c r="I13" s="50"/>
      <c r="K13" s="2"/>
    </row>
    <row r="14" spans="1:13" x14ac:dyDescent="0.2">
      <c r="A14" t="str">
        <f t="shared" ref="A14:A22" si="1">TEXT(A15-1,"#")</f>
        <v>2012</v>
      </c>
      <c r="B14" s="25"/>
      <c r="C14" s="33">
        <f>'2.3b'!E14</f>
        <v>20630853</v>
      </c>
      <c r="D14" s="36">
        <f>'4.1'!$E$63</f>
        <v>0.27800000000000002</v>
      </c>
      <c r="E14" s="35">
        <f>'2.2a'!E14</f>
        <v>1.2190000000000001</v>
      </c>
      <c r="F14" s="19">
        <f t="shared" ref="F14:F23" si="2">ROUND(C14*(1+D14)*E14,0)</f>
        <v>32140435</v>
      </c>
      <c r="G14" s="49">
        <f>'10.1b'!E14</f>
        <v>73910838</v>
      </c>
      <c r="H14" s="20">
        <f t="shared" ref="H14:H23" si="3">ROUND(F14/G14,3)</f>
        <v>0.435</v>
      </c>
      <c r="I14" s="162"/>
      <c r="K14" s="2"/>
    </row>
    <row r="15" spans="1:13" x14ac:dyDescent="0.2">
      <c r="A15" t="str">
        <f t="shared" si="1"/>
        <v>2013</v>
      </c>
      <c r="B15" s="25"/>
      <c r="C15" s="33">
        <f>'2.3b'!E15</f>
        <v>6175709</v>
      </c>
      <c r="D15" s="36">
        <f t="shared" ref="D15:D23" si="4">D$14</f>
        <v>0.27800000000000002</v>
      </c>
      <c r="E15" s="35">
        <f>'2.2a'!E15</f>
        <v>1.1859999999999999</v>
      </c>
      <c r="F15" s="19">
        <f t="shared" si="2"/>
        <v>9360572</v>
      </c>
      <c r="G15" s="49">
        <f>'10.1b'!E15</f>
        <v>75089375</v>
      </c>
      <c r="H15" s="20">
        <f t="shared" si="3"/>
        <v>0.125</v>
      </c>
      <c r="I15" s="162"/>
      <c r="K15" s="2"/>
    </row>
    <row r="16" spans="1:13" x14ac:dyDescent="0.2">
      <c r="A16" t="str">
        <f t="shared" si="1"/>
        <v>2014</v>
      </c>
      <c r="B16" s="25"/>
      <c r="C16" s="33">
        <f>'2.3b'!E16</f>
        <v>1618066</v>
      </c>
      <c r="D16" s="36">
        <f t="shared" si="4"/>
        <v>0.27800000000000002</v>
      </c>
      <c r="E16" s="35">
        <f>'2.2a'!E16</f>
        <v>1.163</v>
      </c>
      <c r="F16" s="19">
        <f t="shared" si="2"/>
        <v>2404954</v>
      </c>
      <c r="G16" s="49">
        <f>'10.1b'!E16</f>
        <v>78255381</v>
      </c>
      <c r="H16" s="20">
        <f t="shared" si="3"/>
        <v>3.1E-2</v>
      </c>
      <c r="I16" s="162"/>
      <c r="K16" s="2"/>
    </row>
    <row r="17" spans="1:11" x14ac:dyDescent="0.2">
      <c r="A17" t="str">
        <f t="shared" si="1"/>
        <v>2015</v>
      </c>
      <c r="B17" s="25"/>
      <c r="C17" s="33">
        <f>'2.3b'!E17</f>
        <v>9461279</v>
      </c>
      <c r="D17" s="36">
        <f t="shared" si="4"/>
        <v>0.27800000000000002</v>
      </c>
      <c r="E17" s="35">
        <f>'2.2a'!E17</f>
        <v>1.1479999999999999</v>
      </c>
      <c r="F17" s="19">
        <f t="shared" si="2"/>
        <v>13881059</v>
      </c>
      <c r="G17" s="49">
        <f>'10.1b'!E17</f>
        <v>81529229</v>
      </c>
      <c r="H17" s="20">
        <f t="shared" si="3"/>
        <v>0.17</v>
      </c>
      <c r="I17" s="162"/>
      <c r="K17" s="2"/>
    </row>
    <row r="18" spans="1:11" x14ac:dyDescent="0.2">
      <c r="A18" t="str">
        <f t="shared" si="1"/>
        <v>2016</v>
      </c>
      <c r="B18" s="25"/>
      <c r="C18" s="33">
        <f>'2.3b'!E18</f>
        <v>9540725</v>
      </c>
      <c r="D18" s="36">
        <f t="shared" si="4"/>
        <v>0.27800000000000002</v>
      </c>
      <c r="E18" s="35">
        <f>'2.2a'!E18</f>
        <v>1.1519999999999999</v>
      </c>
      <c r="F18" s="19">
        <f t="shared" si="2"/>
        <v>14046390</v>
      </c>
      <c r="G18" s="49">
        <f>'10.1b'!E18</f>
        <v>80522915</v>
      </c>
      <c r="H18" s="20">
        <f t="shared" si="3"/>
        <v>0.17399999999999999</v>
      </c>
      <c r="I18" s="162"/>
      <c r="K18" s="2"/>
    </row>
    <row r="19" spans="1:11" x14ac:dyDescent="0.2">
      <c r="A19" t="str">
        <f t="shared" si="1"/>
        <v>2017</v>
      </c>
      <c r="B19" s="25"/>
      <c r="C19" s="33">
        <f>'2.3b'!E19</f>
        <v>7671857</v>
      </c>
      <c r="D19" s="36">
        <f t="shared" si="4"/>
        <v>0.27800000000000002</v>
      </c>
      <c r="E19" s="35">
        <f>'2.2a'!E19</f>
        <v>1.133</v>
      </c>
      <c r="F19" s="19">
        <f t="shared" si="2"/>
        <v>11108649</v>
      </c>
      <c r="G19" s="49">
        <f>'10.1b'!E19</f>
        <v>76211725</v>
      </c>
      <c r="H19" s="20">
        <f t="shared" si="3"/>
        <v>0.14599999999999999</v>
      </c>
      <c r="I19" s="162"/>
      <c r="K19" s="2"/>
    </row>
    <row r="20" spans="1:11" x14ac:dyDescent="0.2">
      <c r="A20" t="str">
        <f t="shared" si="1"/>
        <v>2018</v>
      </c>
      <c r="B20" s="25"/>
      <c r="C20" s="33">
        <f>'2.3b'!E20</f>
        <v>1151679</v>
      </c>
      <c r="D20" s="36">
        <f t="shared" si="4"/>
        <v>0.27800000000000002</v>
      </c>
      <c r="E20" s="35">
        <f>'2.2a'!E20</f>
        <v>1.1000000000000001</v>
      </c>
      <c r="F20" s="19">
        <f t="shared" si="2"/>
        <v>1619030</v>
      </c>
      <c r="G20" s="49">
        <f>'10.1b'!E20</f>
        <v>68808541</v>
      </c>
      <c r="H20" s="20">
        <f t="shared" si="3"/>
        <v>2.4E-2</v>
      </c>
      <c r="I20" s="162"/>
      <c r="K20" s="2"/>
    </row>
    <row r="21" spans="1:11" x14ac:dyDescent="0.2">
      <c r="A21" t="str">
        <f t="shared" si="1"/>
        <v>2019</v>
      </c>
      <c r="B21" s="25"/>
      <c r="C21" s="33">
        <f>'2.3b'!E21</f>
        <v>846472</v>
      </c>
      <c r="D21" s="36">
        <f t="shared" si="4"/>
        <v>0.27800000000000002</v>
      </c>
      <c r="E21" s="35">
        <f>'2.2a'!E21</f>
        <v>1.0860000000000001</v>
      </c>
      <c r="F21" s="19">
        <f>ROUND(C21*(1+D21)*E21,0)</f>
        <v>1174825</v>
      </c>
      <c r="G21" s="49">
        <f>'10.1b'!E21</f>
        <v>62864123</v>
      </c>
      <c r="H21" s="20">
        <f t="shared" si="3"/>
        <v>1.9E-2</v>
      </c>
      <c r="I21" s="162"/>
      <c r="K21" s="2"/>
    </row>
    <row r="22" spans="1:11" x14ac:dyDescent="0.2">
      <c r="A22" t="str">
        <f t="shared" si="1"/>
        <v>2020</v>
      </c>
      <c r="B22" s="51"/>
      <c r="C22" s="49">
        <f>'2.3b'!E22</f>
        <v>489234</v>
      </c>
      <c r="D22" s="75">
        <f t="shared" si="4"/>
        <v>0.27800000000000002</v>
      </c>
      <c r="E22" s="101">
        <f>'2.2a'!E22</f>
        <v>1.097</v>
      </c>
      <c r="F22" s="58">
        <f t="shared" si="2"/>
        <v>685889</v>
      </c>
      <c r="G22" s="49">
        <f>'10.1b'!E22</f>
        <v>60369447</v>
      </c>
      <c r="H22" s="162">
        <f t="shared" si="3"/>
        <v>1.0999999999999999E-2</v>
      </c>
      <c r="I22" s="162"/>
      <c r="K22" s="2"/>
    </row>
    <row r="23" spans="1:11" x14ac:dyDescent="0.2">
      <c r="A23" t="str">
        <f>TEXT(YEAR($L$11),"#")</f>
        <v>2021</v>
      </c>
      <c r="B23" s="51"/>
      <c r="C23" s="49">
        <f>'2.3b'!E23</f>
        <v>629814</v>
      </c>
      <c r="D23" s="75">
        <f t="shared" si="4"/>
        <v>0.27800000000000002</v>
      </c>
      <c r="E23" s="101">
        <f>'2.2a'!E23</f>
        <v>1.0409999999999999</v>
      </c>
      <c r="F23" s="58">
        <f t="shared" si="2"/>
        <v>837903</v>
      </c>
      <c r="G23" s="49">
        <f>'10.1b'!E23</f>
        <v>59850735</v>
      </c>
      <c r="H23" s="162">
        <f t="shared" si="3"/>
        <v>1.4E-2</v>
      </c>
      <c r="I23" s="162"/>
      <c r="K23" s="2"/>
    </row>
    <row r="24" spans="1:11" x14ac:dyDescent="0.2">
      <c r="A24" s="9"/>
      <c r="B24" s="26"/>
      <c r="C24" s="34"/>
      <c r="D24" s="37"/>
      <c r="E24" s="66"/>
      <c r="F24" s="28"/>
      <c r="G24" s="34"/>
      <c r="H24" s="21"/>
      <c r="I24" s="50"/>
      <c r="K24" s="2"/>
    </row>
    <row r="25" spans="1:11" x14ac:dyDescent="0.2">
      <c r="I25" s="162"/>
      <c r="J25" s="20"/>
      <c r="K25" s="2"/>
    </row>
    <row r="26" spans="1:11" x14ac:dyDescent="0.2">
      <c r="A26" t="s">
        <v>9</v>
      </c>
      <c r="C26" s="19">
        <f>SUM(C14:C24)</f>
        <v>58215688</v>
      </c>
      <c r="F26" s="19">
        <f>SUM(F14:F24)</f>
        <v>87259706</v>
      </c>
      <c r="G26" s="19">
        <f>SUM(G14:G24)</f>
        <v>717412309</v>
      </c>
      <c r="H26" s="20">
        <f>ROUND(F26/G26,3)</f>
        <v>0.122</v>
      </c>
      <c r="I26" s="50"/>
      <c r="K26" s="2"/>
    </row>
    <row r="27" spans="1:11" ht="10.5" thickBot="1" x14ac:dyDescent="0.25">
      <c r="A27" s="6"/>
      <c r="B27" s="6"/>
      <c r="C27" s="6"/>
      <c r="D27" s="6"/>
      <c r="E27" s="6"/>
      <c r="F27" s="6"/>
      <c r="G27" s="6"/>
      <c r="H27" s="6"/>
      <c r="I27" s="50"/>
      <c r="K27" s="2"/>
    </row>
    <row r="28" spans="1:11" ht="10.5" thickTop="1" x14ac:dyDescent="0.2">
      <c r="I28" s="50"/>
      <c r="K28" s="2"/>
    </row>
    <row r="29" spans="1:11" x14ac:dyDescent="0.2">
      <c r="A29" t="s">
        <v>17</v>
      </c>
      <c r="I29" s="50"/>
      <c r="K29" s="2"/>
    </row>
    <row r="30" spans="1:11" x14ac:dyDescent="0.2">
      <c r="B30" s="22" t="str">
        <f>C12&amp;" "&amp;'2.3b'!$J$1&amp;", "&amp;'2.3b'!$J$2</f>
        <v>(2) Exhibit 2, Sheet 3b</v>
      </c>
      <c r="I30" s="50"/>
      <c r="K30" s="2"/>
    </row>
    <row r="31" spans="1:11" x14ac:dyDescent="0.2">
      <c r="B31" s="22" t="str">
        <f>D12&amp;" "&amp;'4.1'!$J$1&amp;", "&amp;'4.1'!$J$2</f>
        <v>(3) Exhibit 4, Sheet 1</v>
      </c>
      <c r="I31" s="50"/>
      <c r="K31" s="2"/>
    </row>
    <row r="32" spans="1:11" x14ac:dyDescent="0.2">
      <c r="B32" s="22" t="str">
        <f>E12&amp;" "&amp;'trend 2.5'!$L$1&amp;" "&amp;'trend 2.5'!$L$2</f>
        <v>(4) Exhibit 2 Sheet 5</v>
      </c>
      <c r="I32" s="50"/>
      <c r="K32" s="2"/>
    </row>
    <row r="33" spans="1:11" x14ac:dyDescent="0.2">
      <c r="B33" s="22" t="str">
        <f>F12&amp;" = "&amp;C12&amp;" * [1 + "&amp;D12&amp;"] * "&amp;E12</f>
        <v>(5) = (2) * [1 + (3)] * (4)</v>
      </c>
      <c r="I33" s="50"/>
      <c r="K33" s="2"/>
    </row>
    <row r="34" spans="1:11" x14ac:dyDescent="0.2">
      <c r="B34" s="22" t="str">
        <f>G12&amp;" "&amp;'10.1b'!$J$1&amp;", "&amp;'10.1b'!$J$2</f>
        <v>(6) Exhibit 10, Sheet 1b</v>
      </c>
      <c r="I34" s="50"/>
      <c r="K34" s="2"/>
    </row>
    <row r="35" spans="1:11" x14ac:dyDescent="0.2">
      <c r="B35" s="22" t="str">
        <f>H12&amp;" = "&amp;F12&amp;" / "&amp;G12</f>
        <v>(7) = (5) / (6)</v>
      </c>
      <c r="I35" s="50"/>
      <c r="K35" s="2"/>
    </row>
    <row r="36" spans="1:11" x14ac:dyDescent="0.2">
      <c r="I36" s="50"/>
      <c r="K36" s="2"/>
    </row>
    <row r="37" spans="1:11" x14ac:dyDescent="0.2">
      <c r="I37" s="50"/>
      <c r="K37" s="2"/>
    </row>
    <row r="38" spans="1:11" x14ac:dyDescent="0.2">
      <c r="I38" s="50"/>
      <c r="K38" s="2"/>
    </row>
    <row r="39" spans="1:11" x14ac:dyDescent="0.2">
      <c r="I39" s="50"/>
      <c r="K39" s="2"/>
    </row>
    <row r="40" spans="1:11" x14ac:dyDescent="0.2">
      <c r="A40" s="59"/>
      <c r="B40" s="25"/>
      <c r="I40" s="50"/>
      <c r="K40" s="2"/>
    </row>
    <row r="41" spans="1:11" x14ac:dyDescent="0.2">
      <c r="B41" s="25"/>
      <c r="I41" s="50"/>
      <c r="K41" s="2"/>
    </row>
    <row r="42" spans="1:11" x14ac:dyDescent="0.2">
      <c r="I42" s="50"/>
      <c r="K42" s="2"/>
    </row>
    <row r="43" spans="1:11" x14ac:dyDescent="0.2">
      <c r="I43" s="50"/>
      <c r="K43" s="2"/>
    </row>
    <row r="44" spans="1:11" x14ac:dyDescent="0.2">
      <c r="I44" s="50"/>
      <c r="K44" s="2"/>
    </row>
    <row r="45" spans="1:11" x14ac:dyDescent="0.2">
      <c r="I45" s="50"/>
      <c r="K45" s="2"/>
    </row>
    <row r="46" spans="1:11" x14ac:dyDescent="0.2">
      <c r="I46" s="50"/>
      <c r="K46" s="2"/>
    </row>
    <row r="47" spans="1:11" x14ac:dyDescent="0.2">
      <c r="I47" s="50"/>
      <c r="K47" s="2"/>
    </row>
    <row r="48" spans="1:11" x14ac:dyDescent="0.2">
      <c r="I48" s="50"/>
      <c r="K48" s="2"/>
    </row>
    <row r="49" spans="9:11" x14ac:dyDescent="0.2">
      <c r="I49" s="50"/>
      <c r="K49" s="2"/>
    </row>
    <row r="50" spans="9:11" x14ac:dyDescent="0.2">
      <c r="I50" s="50"/>
      <c r="K50" s="2"/>
    </row>
    <row r="51" spans="9:11" x14ac:dyDescent="0.2">
      <c r="I51" s="50"/>
      <c r="K51" s="2"/>
    </row>
    <row r="52" spans="9:11" x14ac:dyDescent="0.2">
      <c r="I52" s="50"/>
      <c r="K52" s="2"/>
    </row>
    <row r="53" spans="9:11" x14ac:dyDescent="0.2">
      <c r="I53" s="50"/>
      <c r="K53" s="2"/>
    </row>
    <row r="54" spans="9:11" x14ac:dyDescent="0.2">
      <c r="I54" s="50"/>
      <c r="K54" s="2"/>
    </row>
    <row r="55" spans="9:11" x14ac:dyDescent="0.2">
      <c r="I55" s="50"/>
      <c r="K55" s="2"/>
    </row>
    <row r="56" spans="9:11" x14ac:dyDescent="0.2">
      <c r="I56" s="50"/>
      <c r="K56" s="2"/>
    </row>
    <row r="57" spans="9:11" x14ac:dyDescent="0.2">
      <c r="K57" s="2"/>
    </row>
    <row r="58" spans="9:11" x14ac:dyDescent="0.2">
      <c r="K58" s="2"/>
    </row>
    <row r="59" spans="9:11" x14ac:dyDescent="0.2">
      <c r="K59" s="2"/>
    </row>
    <row r="60" spans="9:11" x14ac:dyDescent="0.2">
      <c r="K60" s="2"/>
    </row>
    <row r="61" spans="9:11" x14ac:dyDescent="0.2">
      <c r="K61" s="2"/>
    </row>
    <row r="62" spans="9:11" x14ac:dyDescent="0.2">
      <c r="K62" s="2"/>
    </row>
    <row r="63" spans="9:11" x14ac:dyDescent="0.2">
      <c r="K63" s="2"/>
    </row>
    <row r="64" spans="9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0.5" thickBot="1" x14ac:dyDescent="0.25">
      <c r="K68" s="2"/>
    </row>
    <row r="69" spans="1:11" ht="10.5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tabColor rgb="FF92D050"/>
  </sheetPr>
  <dimension ref="A1:L69"/>
  <sheetViews>
    <sheetView showGridLines="0" topLeftCell="A25" zoomScaleNormal="100" workbookViewId="0">
      <selection activeCell="G23" sqref="G23"/>
    </sheetView>
  </sheetViews>
  <sheetFormatPr defaultColWidth="11.33203125" defaultRowHeight="10" x14ac:dyDescent="0.2"/>
  <cols>
    <col min="1" max="1" width="5.109375" bestFit="1" customWidth="1"/>
    <col min="2" max="2" width="11.33203125" customWidth="1"/>
    <col min="3" max="6" width="13" customWidth="1"/>
    <col min="7" max="7" width="15.6640625" customWidth="1"/>
    <col min="8" max="8" width="16.33203125" customWidth="1"/>
    <col min="9" max="9" width="11.33203125" customWidth="1"/>
    <col min="10" max="10" width="9.44140625" customWidth="1"/>
  </cols>
  <sheetData>
    <row r="1" spans="1:12" ht="10.5" x14ac:dyDescent="0.25">
      <c r="A1" s="8" t="str">
        <f>'1'!$A$1</f>
        <v>Texas Windstorm Insurance Association</v>
      </c>
      <c r="B1" s="12"/>
      <c r="J1" s="7" t="s">
        <v>20</v>
      </c>
      <c r="K1" s="1"/>
    </row>
    <row r="2" spans="1:12" ht="10.5" x14ac:dyDescent="0.25">
      <c r="A2" s="8" t="str">
        <f>'1'!$A$2</f>
        <v>Residential Property - Wind &amp; Hail</v>
      </c>
      <c r="B2" s="12"/>
      <c r="I2" s="50"/>
      <c r="J2" s="7" t="s">
        <v>48</v>
      </c>
      <c r="K2" s="2"/>
    </row>
    <row r="3" spans="1:12" ht="10.5" x14ac:dyDescent="0.25">
      <c r="A3" s="8" t="str">
        <f>'1'!$A$3</f>
        <v>Rate Level Review</v>
      </c>
      <c r="B3" s="12"/>
      <c r="I3" s="50"/>
      <c r="J3" s="126"/>
      <c r="K3" s="2"/>
    </row>
    <row r="4" spans="1:12" x14ac:dyDescent="0.2">
      <c r="A4" t="s">
        <v>322</v>
      </c>
      <c r="B4" s="12"/>
      <c r="I4" s="50"/>
      <c r="K4" s="2"/>
    </row>
    <row r="5" spans="1:12" x14ac:dyDescent="0.2">
      <c r="A5" t="s">
        <v>47</v>
      </c>
      <c r="B5" s="12"/>
      <c r="I5" s="50"/>
      <c r="K5" s="2"/>
    </row>
    <row r="6" spans="1:12" x14ac:dyDescent="0.2">
      <c r="I6" s="50"/>
      <c r="K6" s="2"/>
    </row>
    <row r="7" spans="1:12" ht="10.5" thickBot="1" x14ac:dyDescent="0.25">
      <c r="A7" s="6"/>
      <c r="B7" s="6"/>
      <c r="C7" s="6"/>
      <c r="D7" s="6"/>
      <c r="E7" s="6"/>
      <c r="F7" s="6"/>
      <c r="G7" s="6"/>
      <c r="H7" s="6"/>
      <c r="I7" s="50"/>
      <c r="K7" s="2"/>
    </row>
    <row r="8" spans="1:12" ht="10.5" thickTop="1" x14ac:dyDescent="0.2">
      <c r="I8" s="50"/>
      <c r="K8" s="2"/>
    </row>
    <row r="9" spans="1:12" x14ac:dyDescent="0.2">
      <c r="A9" t="s">
        <v>33</v>
      </c>
      <c r="C9" s="22" t="s">
        <v>35</v>
      </c>
      <c r="E9" t="s">
        <v>38</v>
      </c>
      <c r="F9" t="s">
        <v>40</v>
      </c>
      <c r="G9" t="s">
        <v>44</v>
      </c>
      <c r="H9" t="s">
        <v>13</v>
      </c>
      <c r="I9" s="50"/>
      <c r="K9" s="2"/>
      <c r="L9" s="27"/>
    </row>
    <row r="10" spans="1:12" x14ac:dyDescent="0.2">
      <c r="A10" t="s">
        <v>34</v>
      </c>
      <c r="C10" t="s">
        <v>8</v>
      </c>
      <c r="D10" t="s">
        <v>36</v>
      </c>
      <c r="E10" t="s">
        <v>39</v>
      </c>
      <c r="F10" t="s">
        <v>8</v>
      </c>
      <c r="G10" t="s">
        <v>42</v>
      </c>
      <c r="H10" t="s">
        <v>8</v>
      </c>
      <c r="I10" s="50"/>
      <c r="K10" s="2"/>
      <c r="L10" t="s">
        <v>217</v>
      </c>
    </row>
    <row r="11" spans="1:12" x14ac:dyDescent="0.2">
      <c r="A11" s="9" t="str">
        <f>TEXT($L$11,"m/d/xx")</f>
        <v>9/30/xx</v>
      </c>
      <c r="B11" s="9"/>
      <c r="C11" s="9" t="s">
        <v>41</v>
      </c>
      <c r="D11" s="9" t="s">
        <v>37</v>
      </c>
      <c r="E11" s="9" t="s">
        <v>37</v>
      </c>
      <c r="F11" s="9" t="s">
        <v>11</v>
      </c>
      <c r="G11" s="9" t="s">
        <v>43</v>
      </c>
      <c r="H11" s="9" t="s">
        <v>29</v>
      </c>
      <c r="I11" s="50"/>
      <c r="K11" s="2"/>
      <c r="L11" s="84">
        <f>'2.4a'!L$22</f>
        <v>44469</v>
      </c>
    </row>
    <row r="12" spans="1:12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3"/>
      <c r="K12" s="2"/>
    </row>
    <row r="13" spans="1:12" x14ac:dyDescent="0.2">
      <c r="I13" s="50"/>
      <c r="K13" s="2"/>
    </row>
    <row r="14" spans="1:12" x14ac:dyDescent="0.2">
      <c r="A14" t="str">
        <f t="shared" ref="A14:A22" si="1">TEXT(A15-1,"#")</f>
        <v>2012</v>
      </c>
      <c r="B14" s="25"/>
      <c r="C14" s="33">
        <f>'2.3c'!E14</f>
        <v>18946421</v>
      </c>
      <c r="D14" s="36">
        <f>'4.1'!$E$63</f>
        <v>0.27800000000000002</v>
      </c>
      <c r="E14" s="35">
        <f>'2.2a'!E14</f>
        <v>1.2190000000000001</v>
      </c>
      <c r="F14" s="19">
        <f t="shared" ref="F14:F22" si="2">ROUND(C14*(1+D14)*E14,0)</f>
        <v>29516288</v>
      </c>
      <c r="G14" s="49">
        <f>'10.1c'!E14</f>
        <v>219681849</v>
      </c>
      <c r="H14" s="20">
        <f>ROUND(F14/G14,3)</f>
        <v>0.13400000000000001</v>
      </c>
      <c r="I14" s="162"/>
      <c r="K14" s="2"/>
    </row>
    <row r="15" spans="1:12" x14ac:dyDescent="0.2">
      <c r="A15" t="str">
        <f t="shared" si="1"/>
        <v>2013</v>
      </c>
      <c r="B15" s="25"/>
      <c r="C15" s="33">
        <f>'2.3c'!E15</f>
        <v>4829039</v>
      </c>
      <c r="D15" s="36">
        <f t="shared" ref="D15:D23" si="3">D$14</f>
        <v>0.27800000000000002</v>
      </c>
      <c r="E15" s="35">
        <f>'2.2a'!E15</f>
        <v>1.1859999999999999</v>
      </c>
      <c r="F15" s="19">
        <f t="shared" si="2"/>
        <v>7319413</v>
      </c>
      <c r="G15" s="49">
        <f>'10.1c'!E15</f>
        <v>226480562</v>
      </c>
      <c r="H15" s="20">
        <f t="shared" ref="H15:H22" si="4">ROUND(F15/G15,3)</f>
        <v>3.2000000000000001E-2</v>
      </c>
      <c r="I15" s="162"/>
      <c r="K15" s="2"/>
    </row>
    <row r="16" spans="1:12" x14ac:dyDescent="0.2">
      <c r="A16" t="str">
        <f t="shared" si="1"/>
        <v>2014</v>
      </c>
      <c r="B16" s="25"/>
      <c r="C16" s="33">
        <f>'2.3c'!E16</f>
        <v>2847173</v>
      </c>
      <c r="D16" s="36">
        <f t="shared" si="3"/>
        <v>0.27800000000000002</v>
      </c>
      <c r="E16" s="35">
        <f>'2.2a'!E16</f>
        <v>1.163</v>
      </c>
      <c r="F16" s="19">
        <f t="shared" si="2"/>
        <v>4231793</v>
      </c>
      <c r="G16" s="49">
        <f>'10.1c'!E16</f>
        <v>233107124</v>
      </c>
      <c r="H16" s="20">
        <f t="shared" si="4"/>
        <v>1.7999999999999999E-2</v>
      </c>
      <c r="I16" s="162"/>
      <c r="K16" s="2"/>
    </row>
    <row r="17" spans="1:11" x14ac:dyDescent="0.2">
      <c r="A17" t="str">
        <f t="shared" si="1"/>
        <v>2015</v>
      </c>
      <c r="B17" s="25"/>
      <c r="C17" s="33">
        <f>'2.3c'!E17</f>
        <v>86469178</v>
      </c>
      <c r="D17" s="36">
        <f t="shared" si="3"/>
        <v>0.27800000000000002</v>
      </c>
      <c r="E17" s="35">
        <f>'2.2a'!E17</f>
        <v>1.1479999999999999</v>
      </c>
      <c r="F17" s="19">
        <f t="shared" si="2"/>
        <v>126862736</v>
      </c>
      <c r="G17" s="49">
        <f>'10.1c'!E17</f>
        <v>237999667</v>
      </c>
      <c r="H17" s="20">
        <f t="shared" si="4"/>
        <v>0.53300000000000003</v>
      </c>
      <c r="I17" s="162"/>
      <c r="K17" s="2"/>
    </row>
    <row r="18" spans="1:11" x14ac:dyDescent="0.2">
      <c r="A18" t="str">
        <f t="shared" si="1"/>
        <v>2016</v>
      </c>
      <c r="B18" s="25"/>
      <c r="C18" s="33">
        <f>'2.3c'!E18</f>
        <v>12180058</v>
      </c>
      <c r="D18" s="36">
        <f t="shared" si="3"/>
        <v>0.27800000000000002</v>
      </c>
      <c r="E18" s="35">
        <f>'2.2a'!E18</f>
        <v>1.1519999999999999</v>
      </c>
      <c r="F18" s="19">
        <f t="shared" si="2"/>
        <v>17932163</v>
      </c>
      <c r="G18" s="49">
        <f>'10.1c'!E18</f>
        <v>227183607</v>
      </c>
      <c r="H18" s="20">
        <f t="shared" si="4"/>
        <v>7.9000000000000001E-2</v>
      </c>
      <c r="I18" s="162"/>
      <c r="K18" s="2"/>
    </row>
    <row r="19" spans="1:11" x14ac:dyDescent="0.2">
      <c r="A19" t="str">
        <f t="shared" si="1"/>
        <v>2017</v>
      </c>
      <c r="B19" s="25"/>
      <c r="C19" s="33">
        <f>'2.3c'!E19</f>
        <v>21905487</v>
      </c>
      <c r="D19" s="36">
        <f t="shared" si="3"/>
        <v>0.27800000000000002</v>
      </c>
      <c r="E19" s="35">
        <f>'2.2a'!E19</f>
        <v>1.133</v>
      </c>
      <c r="F19" s="19">
        <f t="shared" si="2"/>
        <v>31718576</v>
      </c>
      <c r="G19" s="49">
        <f>'10.1c'!E19</f>
        <v>207881527</v>
      </c>
      <c r="H19" s="20">
        <f t="shared" si="4"/>
        <v>0.153</v>
      </c>
      <c r="I19" s="162"/>
      <c r="K19" s="2"/>
    </row>
    <row r="20" spans="1:11" x14ac:dyDescent="0.2">
      <c r="A20" t="str">
        <f t="shared" si="1"/>
        <v>2018</v>
      </c>
      <c r="B20" s="25"/>
      <c r="C20" s="33">
        <f>'2.3c'!E20</f>
        <v>6834523</v>
      </c>
      <c r="D20" s="36">
        <f t="shared" si="3"/>
        <v>0.27800000000000002</v>
      </c>
      <c r="E20" s="35">
        <f>'2.2a'!E20</f>
        <v>1.1000000000000001</v>
      </c>
      <c r="F20" s="19">
        <f t="shared" si="2"/>
        <v>9607972</v>
      </c>
      <c r="G20" s="49">
        <f>'10.1c'!E20</f>
        <v>179645974</v>
      </c>
      <c r="H20" s="20">
        <f t="shared" si="4"/>
        <v>5.2999999999999999E-2</v>
      </c>
      <c r="I20" s="162"/>
      <c r="K20" s="2"/>
    </row>
    <row r="21" spans="1:11" x14ac:dyDescent="0.2">
      <c r="A21" t="str">
        <f t="shared" si="1"/>
        <v>2019</v>
      </c>
      <c r="B21" s="25"/>
      <c r="C21" s="33">
        <f>'2.3c'!E21</f>
        <v>10279319</v>
      </c>
      <c r="D21" s="36">
        <f t="shared" si="3"/>
        <v>0.27800000000000002</v>
      </c>
      <c r="E21" s="35">
        <f>'2.2a'!E21</f>
        <v>1.0860000000000001</v>
      </c>
      <c r="F21" s="19">
        <f t="shared" si="2"/>
        <v>14266749</v>
      </c>
      <c r="G21" s="49">
        <f>'10.1c'!E21</f>
        <v>159579121</v>
      </c>
      <c r="H21" s="20">
        <f t="shared" si="4"/>
        <v>8.8999999999999996E-2</v>
      </c>
      <c r="I21" s="162"/>
      <c r="K21" s="2"/>
    </row>
    <row r="22" spans="1:11" x14ac:dyDescent="0.2">
      <c r="A22" t="str">
        <f t="shared" si="1"/>
        <v>2020</v>
      </c>
      <c r="B22" s="51"/>
      <c r="C22" s="49">
        <f>'2.3c'!E22</f>
        <v>22449512</v>
      </c>
      <c r="D22" s="75">
        <f t="shared" si="3"/>
        <v>0.27800000000000002</v>
      </c>
      <c r="E22" s="101">
        <f>'2.2a'!E22</f>
        <v>1.097</v>
      </c>
      <c r="F22" s="58">
        <f t="shared" si="2"/>
        <v>31473453</v>
      </c>
      <c r="G22" s="49">
        <f>'10.1c'!E22</f>
        <v>148714964</v>
      </c>
      <c r="H22" s="162">
        <f t="shared" si="4"/>
        <v>0.21199999999999999</v>
      </c>
      <c r="I22" s="162"/>
      <c r="K22" s="2"/>
    </row>
    <row r="23" spans="1:11" x14ac:dyDescent="0.2">
      <c r="A23" t="str">
        <f>TEXT(YEAR($L$11),"#")</f>
        <v>2021</v>
      </c>
      <c r="B23" s="51"/>
      <c r="C23" s="49">
        <f>'2.3c'!E23</f>
        <v>26879278</v>
      </c>
      <c r="D23" s="75">
        <f t="shared" si="3"/>
        <v>0.27800000000000002</v>
      </c>
      <c r="E23" s="101">
        <f>'2.2a'!E23</f>
        <v>1.0409999999999999</v>
      </c>
      <c r="F23" s="58">
        <f>ROUND(C23*(1+D23)*E23,0)</f>
        <v>35760138</v>
      </c>
      <c r="G23" s="49">
        <f>'10.1c'!E23</f>
        <v>147041832</v>
      </c>
      <c r="H23" s="162">
        <f>ROUND(F23/G23,3)</f>
        <v>0.24299999999999999</v>
      </c>
      <c r="I23" s="162"/>
      <c r="K23" s="2"/>
    </row>
    <row r="24" spans="1:11" x14ac:dyDescent="0.2">
      <c r="A24" s="9"/>
      <c r="B24" s="26"/>
      <c r="C24" s="34"/>
      <c r="D24" s="37"/>
      <c r="E24" s="66"/>
      <c r="F24" s="28"/>
      <c r="G24" s="34"/>
      <c r="H24" s="21"/>
      <c r="I24" s="50"/>
      <c r="K24" s="2"/>
    </row>
    <row r="25" spans="1:11" x14ac:dyDescent="0.2">
      <c r="I25" s="162"/>
      <c r="J25" s="20"/>
      <c r="K25" s="2"/>
    </row>
    <row r="26" spans="1:11" x14ac:dyDescent="0.2">
      <c r="A26" t="s">
        <v>9</v>
      </c>
      <c r="C26" s="19">
        <f>SUM(C14:C24)</f>
        <v>213619988</v>
      </c>
      <c r="F26" s="19">
        <f>SUM(F14:F24)</f>
        <v>308689281</v>
      </c>
      <c r="G26" s="19">
        <f>SUM(G14:G24)</f>
        <v>1987316227</v>
      </c>
      <c r="H26" s="20">
        <f>ROUND(F26/G26,3)</f>
        <v>0.155</v>
      </c>
      <c r="I26" s="50"/>
      <c r="K26" s="2"/>
    </row>
    <row r="27" spans="1:11" ht="10.5" thickBot="1" x14ac:dyDescent="0.25">
      <c r="A27" s="6"/>
      <c r="B27" s="6"/>
      <c r="C27" s="6"/>
      <c r="D27" s="6"/>
      <c r="E27" s="6"/>
      <c r="F27" s="6"/>
      <c r="G27" s="6"/>
      <c r="H27" s="6"/>
      <c r="I27" s="50"/>
      <c r="K27" s="2"/>
    </row>
    <row r="28" spans="1:11" ht="10.5" thickTop="1" x14ac:dyDescent="0.2">
      <c r="I28" s="50"/>
      <c r="K28" s="2"/>
    </row>
    <row r="29" spans="1:11" x14ac:dyDescent="0.2">
      <c r="A29" t="s">
        <v>17</v>
      </c>
      <c r="I29" s="50"/>
      <c r="K29" s="2"/>
    </row>
    <row r="30" spans="1:11" x14ac:dyDescent="0.2">
      <c r="B30" s="22" t="str">
        <f>C12&amp;" "&amp;'2.3c'!$J$1&amp;", "&amp;'2.3c'!$J$2</f>
        <v>(2) Exhibit 2, Sheet 3c</v>
      </c>
      <c r="I30" s="50"/>
      <c r="K30" s="2"/>
    </row>
    <row r="31" spans="1:11" x14ac:dyDescent="0.2">
      <c r="B31" s="22" t="str">
        <f>D12&amp;" "&amp;'4.1'!$J$1&amp;", "&amp;'4.1'!$J$2</f>
        <v>(3) Exhibit 4, Sheet 1</v>
      </c>
      <c r="I31" s="50"/>
      <c r="K31" s="2"/>
    </row>
    <row r="32" spans="1:11" x14ac:dyDescent="0.2">
      <c r="B32" s="22" t="str">
        <f>E12&amp;" "&amp;'trend 2.5'!$L$1&amp;" "&amp;'trend 2.5'!$L$2</f>
        <v>(4) Exhibit 2 Sheet 5</v>
      </c>
      <c r="I32" s="50"/>
      <c r="K32" s="2"/>
    </row>
    <row r="33" spans="1:11" x14ac:dyDescent="0.2">
      <c r="B33" s="22" t="str">
        <f>F12&amp;" = "&amp;C12&amp;" * [1 + "&amp;D12&amp;"] * "&amp;E12</f>
        <v>(5) = (2) * [1 + (3)] * (4)</v>
      </c>
      <c r="I33" s="50"/>
      <c r="K33" s="2"/>
    </row>
    <row r="34" spans="1:11" x14ac:dyDescent="0.2">
      <c r="B34" s="22" t="str">
        <f>G12&amp;" "&amp;'10.1c'!$J$1&amp;", "&amp;'10.1c'!$J$2</f>
        <v>(6) Exhibit 10, Sheet 1c</v>
      </c>
      <c r="I34" s="50"/>
      <c r="K34" s="2"/>
    </row>
    <row r="35" spans="1:11" x14ac:dyDescent="0.2">
      <c r="B35" s="22" t="str">
        <f>H12&amp;" = "&amp;F12&amp;" / "&amp;G12</f>
        <v>(7) = (5) / (6)</v>
      </c>
      <c r="I35" s="50"/>
      <c r="K35" s="2"/>
    </row>
    <row r="36" spans="1:11" x14ac:dyDescent="0.2">
      <c r="I36" s="50"/>
      <c r="K36" s="2"/>
    </row>
    <row r="37" spans="1:11" x14ac:dyDescent="0.2">
      <c r="I37" s="50"/>
      <c r="K37" s="2"/>
    </row>
    <row r="38" spans="1:11" x14ac:dyDescent="0.2">
      <c r="I38" s="50"/>
      <c r="K38" s="2"/>
    </row>
    <row r="39" spans="1:11" x14ac:dyDescent="0.2">
      <c r="I39" s="50"/>
      <c r="K39" s="2"/>
    </row>
    <row r="40" spans="1:11" x14ac:dyDescent="0.2">
      <c r="A40" s="59"/>
      <c r="B40" s="25"/>
      <c r="I40" s="50"/>
      <c r="K40" s="2"/>
    </row>
    <row r="41" spans="1:11" x14ac:dyDescent="0.2">
      <c r="B41" s="25"/>
      <c r="I41" s="50"/>
      <c r="K41" s="2"/>
    </row>
    <row r="42" spans="1:11" x14ac:dyDescent="0.2">
      <c r="I42" s="50"/>
      <c r="K42" s="2"/>
    </row>
    <row r="43" spans="1:11" x14ac:dyDescent="0.2">
      <c r="I43" s="50"/>
      <c r="K43" s="2"/>
    </row>
    <row r="44" spans="1:11" x14ac:dyDescent="0.2">
      <c r="I44" s="50"/>
      <c r="K44" s="2"/>
    </row>
    <row r="45" spans="1:11" x14ac:dyDescent="0.2">
      <c r="I45" s="50"/>
      <c r="K45" s="2"/>
    </row>
    <row r="46" spans="1:11" x14ac:dyDescent="0.2">
      <c r="I46" s="50"/>
      <c r="K46" s="2"/>
    </row>
    <row r="47" spans="1:11" x14ac:dyDescent="0.2">
      <c r="I47" s="50"/>
      <c r="K47" s="2"/>
    </row>
    <row r="48" spans="1:11" x14ac:dyDescent="0.2">
      <c r="I48" s="50"/>
      <c r="K48" s="2"/>
    </row>
    <row r="49" spans="9:11" x14ac:dyDescent="0.2">
      <c r="I49" s="50"/>
      <c r="K49" s="2"/>
    </row>
    <row r="50" spans="9:11" x14ac:dyDescent="0.2">
      <c r="I50" s="50"/>
      <c r="K50" s="2"/>
    </row>
    <row r="51" spans="9:11" x14ac:dyDescent="0.2">
      <c r="I51" s="50"/>
      <c r="K51" s="2"/>
    </row>
    <row r="52" spans="9:11" x14ac:dyDescent="0.2">
      <c r="I52" s="50"/>
      <c r="K52" s="2"/>
    </row>
    <row r="53" spans="9:11" x14ac:dyDescent="0.2">
      <c r="I53" s="50"/>
      <c r="K53" s="2"/>
    </row>
    <row r="54" spans="9:11" x14ac:dyDescent="0.2">
      <c r="I54" s="50"/>
      <c r="K54" s="2"/>
    </row>
    <row r="55" spans="9:11" x14ac:dyDescent="0.2">
      <c r="I55" s="50"/>
      <c r="K55" s="2"/>
    </row>
    <row r="56" spans="9:11" x14ac:dyDescent="0.2">
      <c r="I56" s="50"/>
      <c r="K56" s="2"/>
    </row>
    <row r="57" spans="9:11" x14ac:dyDescent="0.2">
      <c r="I57" s="50"/>
      <c r="K57" s="2"/>
    </row>
    <row r="58" spans="9:11" x14ac:dyDescent="0.2">
      <c r="I58" s="50"/>
      <c r="K58" s="2"/>
    </row>
    <row r="59" spans="9:11" x14ac:dyDescent="0.2">
      <c r="I59" s="50"/>
      <c r="K59" s="2"/>
    </row>
    <row r="60" spans="9:11" x14ac:dyDescent="0.2">
      <c r="I60" s="50"/>
      <c r="K60" s="2"/>
    </row>
    <row r="61" spans="9:11" x14ac:dyDescent="0.2">
      <c r="I61" s="50"/>
      <c r="K61" s="2"/>
    </row>
    <row r="62" spans="9:11" x14ac:dyDescent="0.2">
      <c r="I62" s="50"/>
      <c r="K62" s="2"/>
    </row>
    <row r="63" spans="9:11" x14ac:dyDescent="0.2">
      <c r="I63" s="50"/>
      <c r="K63" s="2"/>
    </row>
    <row r="64" spans="9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0.5" thickBot="1" x14ac:dyDescent="0.25">
      <c r="K68" s="2"/>
    </row>
    <row r="69" spans="1:11" ht="10.5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tabColor rgb="FF92D050"/>
  </sheetPr>
  <dimension ref="A1:L57"/>
  <sheetViews>
    <sheetView showGridLines="0" topLeftCell="A28" zoomScaleNormal="100" workbookViewId="0">
      <selection activeCell="G23" sqref="G23"/>
    </sheetView>
  </sheetViews>
  <sheetFormatPr defaultColWidth="11.33203125" defaultRowHeight="10" x14ac:dyDescent="0.2"/>
  <cols>
    <col min="1" max="1" width="5.109375" bestFit="1" customWidth="1"/>
    <col min="2" max="2" width="11.33203125" customWidth="1"/>
    <col min="3" max="6" width="13" customWidth="1"/>
    <col min="7" max="7" width="15.6640625" customWidth="1"/>
    <col min="8" max="8" width="16.33203125" customWidth="1"/>
    <col min="9" max="9" width="11.33203125" customWidth="1"/>
    <col min="10" max="10" width="9.44140625" customWidth="1"/>
  </cols>
  <sheetData>
    <row r="1" spans="1:12" ht="10.5" x14ac:dyDescent="0.25">
      <c r="A1" s="8" t="str">
        <f>'1'!$A$1</f>
        <v>Texas Windstorm Insurance Association</v>
      </c>
      <c r="B1" s="12"/>
      <c r="I1" s="50"/>
      <c r="J1" s="7" t="s">
        <v>20</v>
      </c>
      <c r="K1" s="1"/>
    </row>
    <row r="2" spans="1:12" ht="10.5" x14ac:dyDescent="0.25">
      <c r="A2" s="8" t="str">
        <f>'1'!$A$2</f>
        <v>Residential Property - Wind &amp; Hail</v>
      </c>
      <c r="B2" s="12"/>
      <c r="I2" s="50"/>
      <c r="J2" s="7" t="s">
        <v>49</v>
      </c>
      <c r="K2" s="2"/>
    </row>
    <row r="3" spans="1:12" ht="10.5" x14ac:dyDescent="0.25">
      <c r="A3" s="8" t="str">
        <f>'1'!$A$3</f>
        <v>Rate Level Review</v>
      </c>
      <c r="B3" s="12"/>
      <c r="I3" s="50"/>
      <c r="J3" s="126"/>
      <c r="K3" s="2"/>
    </row>
    <row r="4" spans="1:12" x14ac:dyDescent="0.2">
      <c r="A4" t="s">
        <v>322</v>
      </c>
      <c r="B4" s="12"/>
      <c r="I4" s="50"/>
      <c r="K4" s="2"/>
    </row>
    <row r="5" spans="1:12" x14ac:dyDescent="0.2">
      <c r="A5" t="s">
        <v>332</v>
      </c>
      <c r="B5" s="12"/>
      <c r="I5" s="50"/>
      <c r="K5" s="2"/>
    </row>
    <row r="6" spans="1:12" x14ac:dyDescent="0.2">
      <c r="I6" s="50"/>
      <c r="K6" s="2"/>
    </row>
    <row r="7" spans="1:12" ht="10.5" thickBot="1" x14ac:dyDescent="0.25">
      <c r="A7" s="6"/>
      <c r="B7" s="6"/>
      <c r="C7" s="6"/>
      <c r="D7" s="6"/>
      <c r="E7" s="6"/>
      <c r="F7" s="6"/>
      <c r="G7" s="6"/>
      <c r="H7" s="6"/>
      <c r="I7" s="50"/>
      <c r="K7" s="2"/>
    </row>
    <row r="8" spans="1:12" ht="10.5" thickTop="1" x14ac:dyDescent="0.2">
      <c r="I8" s="50"/>
      <c r="K8" s="2"/>
    </row>
    <row r="9" spans="1:12" x14ac:dyDescent="0.2">
      <c r="A9" t="s">
        <v>33</v>
      </c>
      <c r="C9" s="22" t="s">
        <v>35</v>
      </c>
      <c r="E9" t="s">
        <v>38</v>
      </c>
      <c r="F9" t="s">
        <v>40</v>
      </c>
      <c r="G9" t="s">
        <v>44</v>
      </c>
      <c r="H9" t="s">
        <v>13</v>
      </c>
      <c r="I9" s="50"/>
      <c r="K9" s="2"/>
      <c r="L9" s="27"/>
    </row>
    <row r="10" spans="1:12" x14ac:dyDescent="0.2">
      <c r="A10" t="s">
        <v>34</v>
      </c>
      <c r="C10" t="s">
        <v>8</v>
      </c>
      <c r="D10" t="s">
        <v>36</v>
      </c>
      <c r="E10" t="s">
        <v>39</v>
      </c>
      <c r="F10" t="s">
        <v>8</v>
      </c>
      <c r="G10" t="s">
        <v>42</v>
      </c>
      <c r="H10" t="s">
        <v>8</v>
      </c>
      <c r="I10" s="50"/>
      <c r="K10" s="2"/>
      <c r="L10" t="s">
        <v>217</v>
      </c>
    </row>
    <row r="11" spans="1:12" x14ac:dyDescent="0.2">
      <c r="A11" s="9" t="str">
        <f>TEXT($L$11,"m/d/xx")</f>
        <v>9/30/xx</v>
      </c>
      <c r="B11" s="9"/>
      <c r="C11" s="9" t="s">
        <v>41</v>
      </c>
      <c r="D11" s="9" t="s">
        <v>37</v>
      </c>
      <c r="E11" s="9" t="s">
        <v>37</v>
      </c>
      <c r="F11" s="9" t="s">
        <v>11</v>
      </c>
      <c r="G11" s="9" t="s">
        <v>43</v>
      </c>
      <c r="H11" s="9" t="s">
        <v>29</v>
      </c>
      <c r="I11" s="50"/>
      <c r="K11" s="2"/>
      <c r="L11" s="223">
        <f>'2.4a'!L$22</f>
        <v>44469</v>
      </c>
    </row>
    <row r="12" spans="1:12" x14ac:dyDescent="0.2">
      <c r="A12" s="13" t="str">
        <f>TEXT(COLUMN(),"(#)")</f>
        <v>(1)</v>
      </c>
      <c r="B12" s="13"/>
      <c r="C12" s="11" t="str">
        <f t="shared" ref="C12:H12" si="0">TEXT(COLUMN()-1,"(#)")</f>
        <v>(2)</v>
      </c>
      <c r="D12" s="11" t="str">
        <f t="shared" si="0"/>
        <v>(3)</v>
      </c>
      <c r="E12" s="11" t="str">
        <f t="shared" si="0"/>
        <v>(4)</v>
      </c>
      <c r="F12" s="11" t="str">
        <f t="shared" si="0"/>
        <v>(5)</v>
      </c>
      <c r="G12" s="11" t="str">
        <f t="shared" si="0"/>
        <v>(6)</v>
      </c>
      <c r="H12" s="11" t="str">
        <f t="shared" si="0"/>
        <v>(7)</v>
      </c>
      <c r="I12" s="113"/>
      <c r="K12" s="2"/>
    </row>
    <row r="13" spans="1:12" x14ac:dyDescent="0.2">
      <c r="I13" s="50"/>
      <c r="K13" s="2"/>
    </row>
    <row r="14" spans="1:12" x14ac:dyDescent="0.2">
      <c r="A14" t="str">
        <f t="shared" ref="A14:A22" si="1">TEXT(A15-1,"#")</f>
        <v>2012</v>
      </c>
      <c r="B14" s="25"/>
      <c r="C14" s="33">
        <f>'2.3d'!E14</f>
        <v>259290</v>
      </c>
      <c r="D14" s="36">
        <f>'4.1'!$E$63</f>
        <v>0.27800000000000002</v>
      </c>
      <c r="E14" s="35">
        <f>'2.2a'!E14</f>
        <v>1.2190000000000001</v>
      </c>
      <c r="F14" s="19">
        <f>ROUND(C14*(1+D14)*E14,0)</f>
        <v>403943</v>
      </c>
      <c r="G14" s="49">
        <f>'10.1d'!E14</f>
        <v>4521911</v>
      </c>
      <c r="H14" s="20">
        <f>ROUND(F14/G14,3)</f>
        <v>8.8999999999999996E-2</v>
      </c>
      <c r="I14" s="162"/>
      <c r="K14" s="2"/>
    </row>
    <row r="15" spans="1:12" x14ac:dyDescent="0.2">
      <c r="A15" t="str">
        <f t="shared" si="1"/>
        <v>2013</v>
      </c>
      <c r="B15" s="25"/>
      <c r="C15" s="33">
        <f>'2.3d'!E15</f>
        <v>502759</v>
      </c>
      <c r="D15" s="36">
        <f t="shared" ref="D15:D23" si="2">D$14</f>
        <v>0.27800000000000002</v>
      </c>
      <c r="E15" s="35">
        <f>'2.2a'!E15</f>
        <v>1.1859999999999999</v>
      </c>
      <c r="F15" s="19">
        <f t="shared" ref="F15:F22" si="3">ROUND(C15*(1+D15)*E15,0)</f>
        <v>762036</v>
      </c>
      <c r="G15" s="49">
        <f>'10.1d'!E15</f>
        <v>4802386</v>
      </c>
      <c r="H15" s="20">
        <f t="shared" ref="H15:H22" si="4">ROUND(F15/G15,3)</f>
        <v>0.159</v>
      </c>
      <c r="I15" s="162"/>
      <c r="K15" s="2"/>
    </row>
    <row r="16" spans="1:12" x14ac:dyDescent="0.2">
      <c r="A16" t="str">
        <f t="shared" si="1"/>
        <v>2014</v>
      </c>
      <c r="B16" s="25"/>
      <c r="C16" s="33">
        <f>'2.3d'!E16</f>
        <v>30748</v>
      </c>
      <c r="D16" s="36">
        <f t="shared" si="2"/>
        <v>0.27800000000000002</v>
      </c>
      <c r="E16" s="35">
        <f>'2.2a'!E16</f>
        <v>1.163</v>
      </c>
      <c r="F16" s="19">
        <f t="shared" si="3"/>
        <v>45701</v>
      </c>
      <c r="G16" s="49">
        <f>'10.1d'!E16</f>
        <v>4882886</v>
      </c>
      <c r="H16" s="20">
        <f t="shared" si="4"/>
        <v>8.9999999999999993E-3</v>
      </c>
      <c r="I16" s="162"/>
      <c r="K16" s="2"/>
    </row>
    <row r="17" spans="1:11" x14ac:dyDescent="0.2">
      <c r="A17" t="str">
        <f t="shared" si="1"/>
        <v>2015</v>
      </c>
      <c r="B17" s="25"/>
      <c r="C17" s="33">
        <f>'2.3d'!E17</f>
        <v>339352</v>
      </c>
      <c r="D17" s="36">
        <f t="shared" si="2"/>
        <v>0.27800000000000002</v>
      </c>
      <c r="E17" s="35">
        <f>'2.2a'!E17</f>
        <v>1.1479999999999999</v>
      </c>
      <c r="F17" s="19">
        <f t="shared" si="3"/>
        <v>497878</v>
      </c>
      <c r="G17" s="49">
        <f>'10.1d'!E17</f>
        <v>4986385</v>
      </c>
      <c r="H17" s="20">
        <f t="shared" si="4"/>
        <v>0.1</v>
      </c>
      <c r="I17" s="162"/>
      <c r="K17" s="2"/>
    </row>
    <row r="18" spans="1:11" x14ac:dyDescent="0.2">
      <c r="A18" t="str">
        <f t="shared" si="1"/>
        <v>2016</v>
      </c>
      <c r="B18" s="25"/>
      <c r="C18" s="33">
        <f>'2.3d'!E18</f>
        <v>446895</v>
      </c>
      <c r="D18" s="36">
        <f t="shared" si="2"/>
        <v>0.27800000000000002</v>
      </c>
      <c r="E18" s="35">
        <f>'2.2a'!E18</f>
        <v>1.1519999999999999</v>
      </c>
      <c r="F18" s="19">
        <f t="shared" si="3"/>
        <v>657944</v>
      </c>
      <c r="G18" s="49">
        <f>'10.1d'!E18</f>
        <v>5015200</v>
      </c>
      <c r="H18" s="20">
        <f t="shared" si="4"/>
        <v>0.13100000000000001</v>
      </c>
      <c r="I18" s="162"/>
      <c r="K18" s="2"/>
    </row>
    <row r="19" spans="1:11" x14ac:dyDescent="0.2">
      <c r="A19" t="str">
        <f t="shared" si="1"/>
        <v>2017</v>
      </c>
      <c r="B19" s="25"/>
      <c r="C19" s="33">
        <f>'2.3d'!E19</f>
        <v>483045</v>
      </c>
      <c r="D19" s="36">
        <f t="shared" si="2"/>
        <v>0.27800000000000002</v>
      </c>
      <c r="E19" s="35">
        <f>'2.2a'!E19</f>
        <v>1.133</v>
      </c>
      <c r="F19" s="19">
        <f t="shared" si="3"/>
        <v>699437</v>
      </c>
      <c r="G19" s="49">
        <f>'10.1d'!E19</f>
        <v>4890478</v>
      </c>
      <c r="H19" s="20">
        <f t="shared" si="4"/>
        <v>0.14299999999999999</v>
      </c>
      <c r="I19" s="162"/>
      <c r="K19" s="2"/>
    </row>
    <row r="20" spans="1:11" x14ac:dyDescent="0.2">
      <c r="A20" t="str">
        <f t="shared" si="1"/>
        <v>2018</v>
      </c>
      <c r="B20" s="25"/>
      <c r="C20" s="33">
        <f>'2.3d'!E20</f>
        <v>286102</v>
      </c>
      <c r="D20" s="36">
        <f t="shared" si="2"/>
        <v>0.27800000000000002</v>
      </c>
      <c r="E20" s="35">
        <f>'2.2a'!E20</f>
        <v>1.1000000000000001</v>
      </c>
      <c r="F20" s="19">
        <f t="shared" si="3"/>
        <v>402202</v>
      </c>
      <c r="G20" s="49">
        <f>'10.1d'!E20</f>
        <v>4631462</v>
      </c>
      <c r="H20" s="20">
        <f t="shared" si="4"/>
        <v>8.6999999999999994E-2</v>
      </c>
      <c r="I20" s="162"/>
      <c r="K20" s="2"/>
    </row>
    <row r="21" spans="1:11" x14ac:dyDescent="0.2">
      <c r="A21" t="str">
        <f t="shared" si="1"/>
        <v>2019</v>
      </c>
      <c r="B21" s="25"/>
      <c r="C21" s="33">
        <f>'2.3d'!E21</f>
        <v>2717064</v>
      </c>
      <c r="D21" s="36">
        <f t="shared" si="2"/>
        <v>0.27800000000000002</v>
      </c>
      <c r="E21" s="35">
        <f>'2.2a'!E21</f>
        <v>1.0860000000000001</v>
      </c>
      <c r="F21" s="19">
        <f t="shared" si="3"/>
        <v>3771035</v>
      </c>
      <c r="G21" s="49">
        <f>'10.1d'!E21</f>
        <v>4510864</v>
      </c>
      <c r="H21" s="20">
        <f>ROUND(F21/G21,3)</f>
        <v>0.83599999999999997</v>
      </c>
      <c r="I21" s="162"/>
      <c r="K21" s="2"/>
    </row>
    <row r="22" spans="1:11" x14ac:dyDescent="0.2">
      <c r="A22" t="str">
        <f t="shared" si="1"/>
        <v>2020</v>
      </c>
      <c r="B22" s="51"/>
      <c r="C22" s="49">
        <f>'2.3d'!E22</f>
        <v>483604</v>
      </c>
      <c r="D22" s="75">
        <f t="shared" si="2"/>
        <v>0.27800000000000002</v>
      </c>
      <c r="E22" s="101">
        <f>'2.2a'!E22</f>
        <v>1.097</v>
      </c>
      <c r="F22" s="58">
        <f t="shared" si="3"/>
        <v>677996</v>
      </c>
      <c r="G22" s="49">
        <f>'10.1d'!E22</f>
        <v>4586202</v>
      </c>
      <c r="H22" s="162">
        <f t="shared" si="4"/>
        <v>0.14799999999999999</v>
      </c>
      <c r="I22" s="162"/>
      <c r="K22" s="2"/>
    </row>
    <row r="23" spans="1:11" x14ac:dyDescent="0.2">
      <c r="A23" t="str">
        <f>TEXT(YEAR($L$11),"#")</f>
        <v>2021</v>
      </c>
      <c r="B23" s="51"/>
      <c r="C23" s="49">
        <f>'2.3d'!E23</f>
        <v>1593605</v>
      </c>
      <c r="D23" s="75">
        <f t="shared" si="2"/>
        <v>0.27800000000000002</v>
      </c>
      <c r="E23" s="101">
        <f>'2.2a'!E23</f>
        <v>1.0409999999999999</v>
      </c>
      <c r="F23" s="58">
        <f>ROUND(C23*(1+D23)*E23,0)</f>
        <v>2120129</v>
      </c>
      <c r="G23" s="49">
        <f>'10.1d'!E23</f>
        <v>4749377</v>
      </c>
      <c r="H23" s="162">
        <f>ROUND(F23/G23,3)</f>
        <v>0.44600000000000001</v>
      </c>
      <c r="I23" s="162"/>
      <c r="K23" s="2"/>
    </row>
    <row r="24" spans="1:11" x14ac:dyDescent="0.2">
      <c r="A24" s="9"/>
      <c r="B24" s="26"/>
      <c r="C24" s="34"/>
      <c r="D24" s="37"/>
      <c r="E24" s="66"/>
      <c r="F24" s="28"/>
      <c r="G24" s="34"/>
      <c r="H24" s="21"/>
      <c r="I24" s="50"/>
      <c r="K24" s="2"/>
    </row>
    <row r="25" spans="1:11" x14ac:dyDescent="0.2">
      <c r="I25" s="162"/>
      <c r="J25" s="20"/>
      <c r="K25" s="2"/>
    </row>
    <row r="26" spans="1:11" x14ac:dyDescent="0.2">
      <c r="A26" t="s">
        <v>9</v>
      </c>
      <c r="C26" s="19">
        <f>SUM(C14:C24)</f>
        <v>7142464</v>
      </c>
      <c r="F26" s="19">
        <f>SUM(F14:F24)</f>
        <v>10038301</v>
      </c>
      <c r="G26" s="19">
        <f>SUM(G14:G24)</f>
        <v>47577151</v>
      </c>
      <c r="H26" s="20">
        <f>ROUND(F26/G26,3)</f>
        <v>0.21099999999999999</v>
      </c>
      <c r="I26" s="50"/>
      <c r="K26" s="2"/>
    </row>
    <row r="27" spans="1:11" ht="10.5" thickBot="1" x14ac:dyDescent="0.25">
      <c r="A27" s="6"/>
      <c r="B27" s="6"/>
      <c r="C27" s="6"/>
      <c r="D27" s="6"/>
      <c r="E27" s="6"/>
      <c r="F27" s="6"/>
      <c r="G27" s="6"/>
      <c r="H27" s="6"/>
      <c r="I27" s="50"/>
      <c r="K27" s="2"/>
    </row>
    <row r="28" spans="1:11" ht="10.5" thickTop="1" x14ac:dyDescent="0.2">
      <c r="I28" s="50"/>
      <c r="K28" s="2"/>
    </row>
    <row r="29" spans="1:11" x14ac:dyDescent="0.2">
      <c r="A29" t="s">
        <v>17</v>
      </c>
      <c r="I29" s="50"/>
      <c r="K29" s="2"/>
    </row>
    <row r="30" spans="1:11" x14ac:dyDescent="0.2">
      <c r="B30" s="22" t="str">
        <f>C12&amp;" "&amp;'2.3d'!$J$1&amp;", "&amp;'2.3d'!$J$2</f>
        <v>(2) Exhibit 2, Sheet 3d</v>
      </c>
      <c r="I30" s="50"/>
      <c r="K30" s="2"/>
    </row>
    <row r="31" spans="1:11" x14ac:dyDescent="0.2">
      <c r="B31" s="22" t="str">
        <f>D12&amp;" "&amp;'4.1'!$J$1&amp;", "&amp;'4.1'!$J$2</f>
        <v>(3) Exhibit 4, Sheet 1</v>
      </c>
      <c r="I31" s="50"/>
      <c r="K31" s="2"/>
    </row>
    <row r="32" spans="1:11" x14ac:dyDescent="0.2">
      <c r="B32" s="22" t="str">
        <f>E12&amp;" "&amp;'trend 2.5'!$L$1&amp;" "&amp;'trend 2.5'!$L$2</f>
        <v>(4) Exhibit 2 Sheet 5</v>
      </c>
      <c r="I32" s="50"/>
      <c r="K32" s="2"/>
    </row>
    <row r="33" spans="2:11" x14ac:dyDescent="0.2">
      <c r="B33" s="22" t="str">
        <f>F12&amp;" = "&amp;C12&amp;" * [1 + "&amp;D12&amp;"] * "&amp;E12</f>
        <v>(5) = (2) * [1 + (3)] * (4)</v>
      </c>
      <c r="I33" s="50"/>
      <c r="K33" s="2"/>
    </row>
    <row r="34" spans="2:11" x14ac:dyDescent="0.2">
      <c r="B34" s="22" t="str">
        <f>G12&amp;" "&amp;'10.1d'!$J$1&amp;", "&amp;'10.1d'!$J$2</f>
        <v>(6) Exhibit 10, Sheet 1d</v>
      </c>
      <c r="I34" s="50"/>
      <c r="K34" s="2"/>
    </row>
    <row r="35" spans="2:11" x14ac:dyDescent="0.2">
      <c r="B35" s="22" t="str">
        <f>H12&amp;" = "&amp;F12&amp;" / "&amp;G12</f>
        <v>(7) = (5) / (6)</v>
      </c>
      <c r="I35" s="50"/>
      <c r="K35" s="2"/>
    </row>
    <row r="36" spans="2:11" x14ac:dyDescent="0.2">
      <c r="I36" s="50"/>
      <c r="K36" s="2"/>
    </row>
    <row r="37" spans="2:11" x14ac:dyDescent="0.2">
      <c r="I37" s="50"/>
      <c r="K37" s="2"/>
    </row>
    <row r="38" spans="2:11" x14ac:dyDescent="0.2">
      <c r="I38" s="50"/>
      <c r="K38" s="2"/>
    </row>
    <row r="39" spans="2:11" x14ac:dyDescent="0.2">
      <c r="I39" s="50"/>
      <c r="K39" s="2"/>
    </row>
    <row r="40" spans="2:11" x14ac:dyDescent="0.2">
      <c r="I40" s="50"/>
      <c r="K40" s="2"/>
    </row>
    <row r="41" spans="2:11" x14ac:dyDescent="0.2">
      <c r="I41" s="50"/>
      <c r="K41" s="2"/>
    </row>
    <row r="42" spans="2:11" x14ac:dyDescent="0.2">
      <c r="I42" s="50"/>
      <c r="K42" s="2"/>
    </row>
    <row r="43" spans="2:11" x14ac:dyDescent="0.2">
      <c r="I43" s="50"/>
      <c r="K43" s="2"/>
    </row>
    <row r="44" spans="2:11" x14ac:dyDescent="0.2">
      <c r="I44" s="50"/>
      <c r="K44" s="2"/>
    </row>
    <row r="45" spans="2:11" x14ac:dyDescent="0.2">
      <c r="K45" s="2"/>
    </row>
    <row r="46" spans="2:11" x14ac:dyDescent="0.2">
      <c r="K46" s="2"/>
    </row>
    <row r="47" spans="2:11" x14ac:dyDescent="0.2">
      <c r="K47" s="2"/>
    </row>
    <row r="48" spans="2:11" x14ac:dyDescent="0.2">
      <c r="K48" s="2"/>
    </row>
    <row r="49" spans="1:11" x14ac:dyDescent="0.2">
      <c r="K49" s="2"/>
    </row>
    <row r="50" spans="1:11" x14ac:dyDescent="0.2">
      <c r="K50" s="2"/>
    </row>
    <row r="51" spans="1:11" x14ac:dyDescent="0.2">
      <c r="K51" s="2"/>
    </row>
    <row r="52" spans="1:11" x14ac:dyDescent="0.2">
      <c r="K52" s="2"/>
    </row>
    <row r="53" spans="1:11" x14ac:dyDescent="0.2">
      <c r="K53" s="2"/>
    </row>
    <row r="54" spans="1:11" x14ac:dyDescent="0.2">
      <c r="K54" s="2"/>
    </row>
    <row r="55" spans="1:11" x14ac:dyDescent="0.2">
      <c r="K55" s="2"/>
    </row>
    <row r="56" spans="1:11" ht="10.5" thickBot="1" x14ac:dyDescent="0.25">
      <c r="K56" s="2"/>
    </row>
    <row r="57" spans="1:11" ht="10.5" thickBot="1" x14ac:dyDescent="0.25">
      <c r="A57" s="4"/>
      <c r="B57" s="5"/>
      <c r="C57" s="5"/>
      <c r="D57" s="5"/>
      <c r="E57" s="5"/>
      <c r="F57" s="5"/>
      <c r="G57" s="5"/>
      <c r="H57" s="5"/>
      <c r="I57" s="5"/>
      <c r="J57" s="5"/>
      <c r="K57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tabColor rgb="FF92D050"/>
  </sheetPr>
  <dimension ref="A1:M69"/>
  <sheetViews>
    <sheetView showGridLines="0" topLeftCell="A22" workbookViewId="0">
      <selection activeCell="H24" sqref="H24"/>
    </sheetView>
  </sheetViews>
  <sheetFormatPr defaultColWidth="11.33203125" defaultRowHeight="10" x14ac:dyDescent="0.2"/>
  <cols>
    <col min="1" max="1" width="5.109375" bestFit="1" customWidth="1"/>
    <col min="2" max="2" width="11.33203125" customWidth="1"/>
    <col min="3" max="5" width="15.33203125" customWidth="1"/>
    <col min="6" max="9" width="11.33203125" customWidth="1"/>
    <col min="10" max="10" width="13.44140625" customWidth="1"/>
  </cols>
  <sheetData>
    <row r="1" spans="1:12" ht="10.5" x14ac:dyDescent="0.25">
      <c r="A1" s="8" t="str">
        <f>'1'!$A$1</f>
        <v>Texas Windstorm Insurance Association</v>
      </c>
      <c r="B1" s="12"/>
      <c r="J1" s="7" t="s">
        <v>20</v>
      </c>
      <c r="K1" s="1"/>
    </row>
    <row r="2" spans="1:12" ht="10.5" x14ac:dyDescent="0.25">
      <c r="A2" s="8" t="str">
        <f>'1'!$A$2</f>
        <v>Residential Property - Wind &amp; Hail</v>
      </c>
      <c r="B2" s="12"/>
      <c r="J2" s="7" t="s">
        <v>51</v>
      </c>
      <c r="K2" s="2"/>
    </row>
    <row r="3" spans="1:12" ht="10.5" x14ac:dyDescent="0.25">
      <c r="A3" s="8" t="str">
        <f>'1'!$A$3</f>
        <v>Rate Level Review</v>
      </c>
      <c r="B3" s="12"/>
      <c r="K3" s="2"/>
    </row>
    <row r="4" spans="1:12" x14ac:dyDescent="0.2">
      <c r="A4" t="s">
        <v>52</v>
      </c>
      <c r="B4" s="12"/>
      <c r="K4" s="2"/>
    </row>
    <row r="5" spans="1:12" x14ac:dyDescent="0.2">
      <c r="A5" t="s">
        <v>31</v>
      </c>
      <c r="B5" s="12"/>
      <c r="K5" s="2"/>
    </row>
    <row r="6" spans="1:12" x14ac:dyDescent="0.2">
      <c r="K6" s="2"/>
    </row>
    <row r="7" spans="1:12" ht="10.5" thickBot="1" x14ac:dyDescent="0.25">
      <c r="A7" s="6"/>
      <c r="B7" s="6"/>
      <c r="C7" s="6"/>
      <c r="D7" s="6"/>
      <c r="E7" s="6"/>
      <c r="K7" s="2"/>
    </row>
    <row r="8" spans="1:12" ht="10.5" thickTop="1" x14ac:dyDescent="0.2">
      <c r="K8" s="2"/>
    </row>
    <row r="9" spans="1:12" x14ac:dyDescent="0.2">
      <c r="C9" s="96" t="s">
        <v>321</v>
      </c>
      <c r="E9" t="s">
        <v>35</v>
      </c>
      <c r="K9" s="2"/>
      <c r="L9" s="27"/>
    </row>
    <row r="10" spans="1:12" x14ac:dyDescent="0.2">
      <c r="A10" t="s">
        <v>53</v>
      </c>
      <c r="C10" t="s">
        <v>8</v>
      </c>
      <c r="D10" t="s">
        <v>56</v>
      </c>
      <c r="E10" t="s">
        <v>8</v>
      </c>
      <c r="K10" s="2"/>
    </row>
    <row r="11" spans="1:12" x14ac:dyDescent="0.2">
      <c r="A11" s="9" t="s">
        <v>54</v>
      </c>
      <c r="B11" s="9"/>
      <c r="C11" s="9" t="s">
        <v>55</v>
      </c>
      <c r="D11" s="9" t="s">
        <v>37</v>
      </c>
      <c r="E11" s="9" t="s">
        <v>41</v>
      </c>
      <c r="K11" s="2"/>
    </row>
    <row r="12" spans="1:12" x14ac:dyDescent="0.2">
      <c r="A12" s="13" t="str">
        <f>TEXT(COLUMN(),"(#)")</f>
        <v>(1)</v>
      </c>
      <c r="B12" s="13"/>
      <c r="C12" s="11" t="str">
        <f>TEXT(COLUMN()-1,"(#)")</f>
        <v>(2)</v>
      </c>
      <c r="D12" s="11" t="str">
        <f>TEXT(COLUMN()-1,"(#)")</f>
        <v>(3)</v>
      </c>
      <c r="E12" s="11" t="str">
        <f>TEXT(COLUMN()-1,"(#)")</f>
        <v>(4)</v>
      </c>
      <c r="K12" s="2"/>
    </row>
    <row r="13" spans="1:12" x14ac:dyDescent="0.2">
      <c r="K13" s="2"/>
    </row>
    <row r="14" spans="1:12" x14ac:dyDescent="0.2">
      <c r="A14" t="str">
        <f t="shared" ref="A14:A22" si="0">TEXT(A15-1,"#")</f>
        <v>2012</v>
      </c>
      <c r="B14" s="25"/>
      <c r="C14" s="33">
        <f>'2.4a'!C14</f>
        <v>10634874</v>
      </c>
      <c r="D14" s="44">
        <v>1</v>
      </c>
      <c r="E14" s="31">
        <f t="shared" ref="E14:E21" si="1">ROUND(C14*D14,0)</f>
        <v>10634874</v>
      </c>
      <c r="K14" s="2"/>
      <c r="L14" s="35"/>
    </row>
    <row r="15" spans="1:12" x14ac:dyDescent="0.2">
      <c r="A15" t="str">
        <f t="shared" si="0"/>
        <v>2013</v>
      </c>
      <c r="B15" s="25"/>
      <c r="C15" s="33">
        <f>'2.4a'!C15</f>
        <v>54085975</v>
      </c>
      <c r="D15" s="36">
        <f>INDEX('ldf 3.1a'!$C$46:$K$46,11-MATCH(A15,A$14:A$23))</f>
        <v>1</v>
      </c>
      <c r="E15" s="31">
        <f t="shared" si="1"/>
        <v>54085975</v>
      </c>
      <c r="K15" s="2"/>
      <c r="L15" s="35"/>
    </row>
    <row r="16" spans="1:12" x14ac:dyDescent="0.2">
      <c r="A16" t="str">
        <f t="shared" si="0"/>
        <v>2014</v>
      </c>
      <c r="B16" s="25"/>
      <c r="C16" s="33">
        <f>'2.4a'!C16</f>
        <v>520624</v>
      </c>
      <c r="D16" s="36">
        <f>INDEX('ldf 3.1a'!$C$46:$K$46,11-MATCH(A16,A$14:A$23))</f>
        <v>1</v>
      </c>
      <c r="E16" s="31">
        <f t="shared" si="1"/>
        <v>520624</v>
      </c>
      <c r="K16" s="2"/>
      <c r="L16" s="35"/>
    </row>
    <row r="17" spans="1:13" x14ac:dyDescent="0.2">
      <c r="A17" t="str">
        <f t="shared" si="0"/>
        <v>2015</v>
      </c>
      <c r="B17" s="25"/>
      <c r="C17" s="33">
        <f>'2.4a'!C17</f>
        <v>17443601</v>
      </c>
      <c r="D17" s="36">
        <f>INDEX('ldf 3.1a'!$C$46:$K$46,11-MATCH(A17,A$14:A$23))</f>
        <v>1</v>
      </c>
      <c r="E17" s="31">
        <f t="shared" si="1"/>
        <v>17443601</v>
      </c>
      <c r="K17" s="2"/>
      <c r="L17" s="35"/>
    </row>
    <row r="18" spans="1:13" x14ac:dyDescent="0.2">
      <c r="A18" t="str">
        <f t="shared" si="0"/>
        <v>2016</v>
      </c>
      <c r="B18" s="25"/>
      <c r="C18" s="33">
        <f>'2.4a'!C18</f>
        <v>10985881</v>
      </c>
      <c r="D18" s="36">
        <f>INDEX('ldf 3.1a'!$C$46:$K$46,11-MATCH(A18,A$14:A$23))</f>
        <v>1.0009999999999999</v>
      </c>
      <c r="E18" s="31">
        <f t="shared" si="1"/>
        <v>10996867</v>
      </c>
      <c r="K18" s="2"/>
      <c r="L18" s="35"/>
    </row>
    <row r="19" spans="1:13" x14ac:dyDescent="0.2">
      <c r="A19" t="str">
        <f t="shared" si="0"/>
        <v>2017</v>
      </c>
      <c r="B19" s="25"/>
      <c r="C19" s="33">
        <f>'2.4a'!C19</f>
        <v>2705963</v>
      </c>
      <c r="D19" s="36">
        <f>INDEX('ldf 3.1a'!$C$46:$K$46,11-MATCH(A19,A$14:A$23))</f>
        <v>1.004</v>
      </c>
      <c r="E19" s="31">
        <f t="shared" si="1"/>
        <v>2716787</v>
      </c>
      <c r="K19" s="2"/>
      <c r="L19" s="35"/>
    </row>
    <row r="20" spans="1:13" x14ac:dyDescent="0.2">
      <c r="A20" t="str">
        <f t="shared" si="0"/>
        <v>2018</v>
      </c>
      <c r="B20" s="25"/>
      <c r="C20" s="33">
        <f>'2.4a'!C20</f>
        <v>2506795</v>
      </c>
      <c r="D20" s="36">
        <f>INDEX('ldf 3.1a'!$C$46:$K$46,11-MATCH(A20,A$14:A$23))</f>
        <v>1.012</v>
      </c>
      <c r="E20" s="31">
        <f t="shared" si="1"/>
        <v>2536877</v>
      </c>
      <c r="K20" s="2"/>
      <c r="L20" s="35"/>
    </row>
    <row r="21" spans="1:13" x14ac:dyDescent="0.2">
      <c r="A21" t="str">
        <f t="shared" si="0"/>
        <v>2019</v>
      </c>
      <c r="B21" s="25"/>
      <c r="C21" s="33">
        <f>'2.4a'!C21</f>
        <v>4697299</v>
      </c>
      <c r="D21" s="36">
        <f>INDEX('ldf 3.1a'!$C$46:$K$46,11-MATCH(A21,A$14:A$23))</f>
        <v>1.0289999999999999</v>
      </c>
      <c r="E21" s="31">
        <f t="shared" si="1"/>
        <v>4833521</v>
      </c>
      <c r="K21" s="2"/>
      <c r="L21" t="s">
        <v>217</v>
      </c>
      <c r="M21" t="s">
        <v>218</v>
      </c>
    </row>
    <row r="22" spans="1:13" x14ac:dyDescent="0.2">
      <c r="A22" t="str">
        <f t="shared" si="0"/>
        <v>2020</v>
      </c>
      <c r="B22" s="51"/>
      <c r="C22" s="49">
        <f>'2.4a'!C22</f>
        <v>5382531</v>
      </c>
      <c r="D22" s="36">
        <f>INDEX('ldf 3.1a'!$C$46:$K$46,11-MATCH(A22,A$14:A$23))</f>
        <v>1.0820000000000001</v>
      </c>
      <c r="E22" s="120">
        <f>ROUND(C22*D22,0)</f>
        <v>5823899</v>
      </c>
      <c r="K22" s="2"/>
      <c r="L22" s="84">
        <f>'2.4a'!L$22</f>
        <v>44469</v>
      </c>
      <c r="M22" s="84">
        <f>'2.4a'!M$22</f>
        <v>44561</v>
      </c>
    </row>
    <row r="23" spans="1:13" x14ac:dyDescent="0.2">
      <c r="A23" t="str">
        <f>TEXT(YEAR($L$22),"#")</f>
        <v>2021</v>
      </c>
      <c r="B23" s="51"/>
      <c r="C23" s="49">
        <f>'2.4a'!C23</f>
        <v>17128270</v>
      </c>
      <c r="D23" s="36">
        <f>INDEX('ldf 3.1a'!$C$46:$K$46,11-MATCH(A23,A$14:A$23))</f>
        <v>1.2669999999999999</v>
      </c>
      <c r="E23" s="120">
        <f>ROUND(C23*D23,0)</f>
        <v>21701518</v>
      </c>
      <c r="K23" s="2"/>
      <c r="L23" s="84"/>
      <c r="M23" s="84"/>
    </row>
    <row r="24" spans="1:13" x14ac:dyDescent="0.2">
      <c r="A24" s="9"/>
      <c r="B24" s="26"/>
      <c r="C24" s="34"/>
      <c r="D24" s="190"/>
      <c r="E24" s="32"/>
      <c r="K24" s="2"/>
    </row>
    <row r="25" spans="1:13" x14ac:dyDescent="0.2">
      <c r="K25" s="2"/>
    </row>
    <row r="26" spans="1:13" x14ac:dyDescent="0.2">
      <c r="A26" t="s">
        <v>9</v>
      </c>
      <c r="C26" s="19">
        <f>SUM(C14:C24)</f>
        <v>126091813</v>
      </c>
      <c r="E26" s="19">
        <f>SUM(E14:E24)</f>
        <v>131294543</v>
      </c>
      <c r="K26" s="2"/>
    </row>
    <row r="27" spans="1:13" ht="10.5" thickBot="1" x14ac:dyDescent="0.25">
      <c r="A27" s="6"/>
      <c r="B27" s="6"/>
      <c r="C27" s="6"/>
      <c r="D27" s="6"/>
      <c r="E27" s="6"/>
      <c r="K27" s="2"/>
    </row>
    <row r="28" spans="1:13" ht="10.5" thickTop="1" x14ac:dyDescent="0.2">
      <c r="K28" s="2"/>
    </row>
    <row r="29" spans="1:13" x14ac:dyDescent="0.2">
      <c r="A29" t="s">
        <v>17</v>
      </c>
      <c r="K29" s="2"/>
    </row>
    <row r="30" spans="1:13" x14ac:dyDescent="0.2">
      <c r="B30" s="22" t="str">
        <f>C12&amp;" "&amp;'2.4a'!$J$1&amp;", "&amp;'2.4a'!$J$2&amp;", as of "&amp;TEXT($M$22,"m/d/yy")</f>
        <v>(2) Exhibit 2, Sheet 4a, as of 12/31/21</v>
      </c>
      <c r="K30" s="2"/>
    </row>
    <row r="31" spans="1:13" x14ac:dyDescent="0.2">
      <c r="B31" s="22" t="str">
        <f>D12&amp;" "&amp;'ldf 3.1a'!$L$1&amp;", "&amp;'ldf 3.1a'!$L$2</f>
        <v>(3) Exhibit 3, Sheet 1</v>
      </c>
      <c r="K31" s="2"/>
    </row>
    <row r="32" spans="1:13" x14ac:dyDescent="0.2">
      <c r="B32" s="22" t="str">
        <f>E12&amp;" = "&amp;C12&amp;" * "&amp;D12</f>
        <v>(4) = (2) * (3)</v>
      </c>
      <c r="K32" s="2"/>
    </row>
    <row r="33" spans="1:11" x14ac:dyDescent="0.2">
      <c r="B33" s="22"/>
      <c r="K33" s="2"/>
    </row>
    <row r="34" spans="1:11" x14ac:dyDescent="0.2">
      <c r="B34" s="25"/>
      <c r="K34" s="2"/>
    </row>
    <row r="35" spans="1:11" x14ac:dyDescent="0.2">
      <c r="A35" s="59"/>
      <c r="B35" s="22"/>
      <c r="K35" s="2"/>
    </row>
    <row r="36" spans="1:11" x14ac:dyDescent="0.2">
      <c r="B36" s="22"/>
      <c r="K36" s="2"/>
    </row>
    <row r="37" spans="1:11" x14ac:dyDescent="0.2">
      <c r="B37" s="25"/>
      <c r="K37" s="2"/>
    </row>
    <row r="38" spans="1:11" x14ac:dyDescent="0.2">
      <c r="K38" s="2"/>
    </row>
    <row r="39" spans="1:11" x14ac:dyDescent="0.2">
      <c r="K39" s="2"/>
    </row>
    <row r="40" spans="1:11" x14ac:dyDescent="0.2">
      <c r="K40" s="2"/>
    </row>
    <row r="41" spans="1:11" x14ac:dyDescent="0.2">
      <c r="K41" s="2"/>
    </row>
    <row r="42" spans="1:11" x14ac:dyDescent="0.2">
      <c r="K42" s="2"/>
    </row>
    <row r="43" spans="1:11" x14ac:dyDescent="0.2">
      <c r="K43" s="2"/>
    </row>
    <row r="44" spans="1:11" x14ac:dyDescent="0.2">
      <c r="K44" s="2"/>
    </row>
    <row r="45" spans="1:11" x14ac:dyDescent="0.2">
      <c r="K45" s="2"/>
    </row>
    <row r="46" spans="1:11" x14ac:dyDescent="0.2">
      <c r="K46" s="2"/>
    </row>
    <row r="47" spans="1:11" x14ac:dyDescent="0.2">
      <c r="K47" s="2"/>
    </row>
    <row r="48" spans="1:11" x14ac:dyDescent="0.2">
      <c r="K48" s="2"/>
    </row>
    <row r="49" spans="11:11" x14ac:dyDescent="0.2">
      <c r="K49" s="2"/>
    </row>
    <row r="50" spans="11:11" x14ac:dyDescent="0.2">
      <c r="K50" s="2"/>
    </row>
    <row r="51" spans="11:11" x14ac:dyDescent="0.2">
      <c r="K51" s="2"/>
    </row>
    <row r="52" spans="11:11" x14ac:dyDescent="0.2">
      <c r="K52" s="2"/>
    </row>
    <row r="53" spans="11:11" x14ac:dyDescent="0.2">
      <c r="K53" s="2"/>
    </row>
    <row r="54" spans="11:11" x14ac:dyDescent="0.2">
      <c r="K54" s="2"/>
    </row>
    <row r="55" spans="11:11" x14ac:dyDescent="0.2">
      <c r="K55" s="2"/>
    </row>
    <row r="56" spans="11:11" x14ac:dyDescent="0.2">
      <c r="K56" s="2"/>
    </row>
    <row r="57" spans="11:11" x14ac:dyDescent="0.2">
      <c r="K57" s="2"/>
    </row>
    <row r="58" spans="11:11" x14ac:dyDescent="0.2">
      <c r="K58" s="2"/>
    </row>
    <row r="59" spans="11:11" x14ac:dyDescent="0.2">
      <c r="K59" s="2"/>
    </row>
    <row r="60" spans="11:11" x14ac:dyDescent="0.2">
      <c r="K60" s="2"/>
    </row>
    <row r="61" spans="11:11" x14ac:dyDescent="0.2">
      <c r="K61" s="2"/>
    </row>
    <row r="62" spans="11:11" x14ac:dyDescent="0.2">
      <c r="K62" s="2"/>
    </row>
    <row r="63" spans="11:11" x14ac:dyDescent="0.2">
      <c r="K63" s="2"/>
    </row>
    <row r="64" spans="11:11" x14ac:dyDescent="0.2">
      <c r="K64" s="2"/>
    </row>
    <row r="65" spans="1:11" x14ac:dyDescent="0.2">
      <c r="K65" s="2"/>
    </row>
    <row r="66" spans="1:11" x14ac:dyDescent="0.2">
      <c r="K66" s="2"/>
    </row>
    <row r="67" spans="1:11" x14ac:dyDescent="0.2">
      <c r="K67" s="2"/>
    </row>
    <row r="68" spans="1:11" ht="10.5" thickBot="1" x14ac:dyDescent="0.25">
      <c r="K68" s="2"/>
    </row>
    <row r="69" spans="1:11" ht="10.5" thickBot="1" x14ac:dyDescent="0.25">
      <c r="A69" s="4"/>
      <c r="B69" s="5"/>
      <c r="C69" s="5"/>
      <c r="D69" s="5"/>
      <c r="E69" s="5"/>
      <c r="F69" s="5"/>
      <c r="G69" s="5"/>
      <c r="H69" s="5"/>
      <c r="I69" s="5"/>
      <c r="J69" s="5"/>
      <c r="K69" s="3"/>
    </row>
  </sheetData>
  <phoneticPr fontId="0" type="noConversion"/>
  <pageMargins left="0.5" right="0.5" top="0.5" bottom="0.5" header="0.5" footer="0.5"/>
  <pageSetup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54</vt:i4>
      </vt:variant>
      <vt:variant>
        <vt:lpstr>Named Ranges</vt:lpstr>
      </vt:variant>
      <vt:variant>
        <vt:i4>53</vt:i4>
      </vt:variant>
    </vt:vector>
  </HeadingPairs>
  <TitlesOfParts>
    <vt:vector size="107" baseType="lpstr">
      <vt:lpstr>Cover Page</vt:lpstr>
      <vt:lpstr>Table of Contents</vt:lpstr>
      <vt:lpstr>1</vt:lpstr>
      <vt:lpstr>2.1</vt:lpstr>
      <vt:lpstr>2.2a</vt:lpstr>
      <vt:lpstr>2.2b</vt:lpstr>
      <vt:lpstr>2.2c</vt:lpstr>
      <vt:lpstr>2.2d</vt:lpstr>
      <vt:lpstr>2.3a</vt:lpstr>
      <vt:lpstr>2.3b</vt:lpstr>
      <vt:lpstr>2.3c</vt:lpstr>
      <vt:lpstr>2.3d</vt:lpstr>
      <vt:lpstr>2.4a</vt:lpstr>
      <vt:lpstr>2.4b</vt:lpstr>
      <vt:lpstr>2.4c</vt:lpstr>
      <vt:lpstr>2.4d</vt:lpstr>
      <vt:lpstr>trend 2.5</vt:lpstr>
      <vt:lpstr>ldf 3.1a</vt:lpstr>
      <vt:lpstr>ldf 3.1b</vt:lpstr>
      <vt:lpstr>3.2 premium trend</vt:lpstr>
      <vt:lpstr>3.3a</vt:lpstr>
      <vt:lpstr>3.3b</vt:lpstr>
      <vt:lpstr>3.3c</vt:lpstr>
      <vt:lpstr>3.3d</vt:lpstr>
      <vt:lpstr>4.1</vt:lpstr>
      <vt:lpstr>4.2</vt:lpstr>
      <vt:lpstr>4.3AS loss Dev</vt:lpstr>
      <vt:lpstr>4.4</vt:lpstr>
      <vt:lpstr>4.5AS LAE Dev</vt:lpstr>
      <vt:lpstr>5</vt:lpstr>
      <vt:lpstr>6.1</vt:lpstr>
      <vt:lpstr>6.2</vt:lpstr>
      <vt:lpstr>6.3</vt:lpstr>
      <vt:lpstr>6.4</vt:lpstr>
      <vt:lpstr>6.5</vt:lpstr>
      <vt:lpstr>6.6</vt:lpstr>
      <vt:lpstr>6.7</vt:lpstr>
      <vt:lpstr>7.1</vt:lpstr>
      <vt:lpstr>7.2</vt:lpstr>
      <vt:lpstr>7.3</vt:lpstr>
      <vt:lpstr>7.4</vt:lpstr>
      <vt:lpstr>8.1</vt:lpstr>
      <vt:lpstr>8.2</vt:lpstr>
      <vt:lpstr>8.3</vt:lpstr>
      <vt:lpstr>8.4</vt:lpstr>
      <vt:lpstr>9</vt:lpstr>
      <vt:lpstr>10.1a</vt:lpstr>
      <vt:lpstr>10.1b</vt:lpstr>
      <vt:lpstr>10.1c</vt:lpstr>
      <vt:lpstr>10.1d</vt:lpstr>
      <vt:lpstr>10.2</vt:lpstr>
      <vt:lpstr>11.1</vt:lpstr>
      <vt:lpstr>11.2</vt:lpstr>
      <vt:lpstr>12</vt:lpstr>
      <vt:lpstr>'1'!Print_Area</vt:lpstr>
      <vt:lpstr>'10.1a'!Print_Area</vt:lpstr>
      <vt:lpstr>'10.1b'!Print_Area</vt:lpstr>
      <vt:lpstr>'10.1c'!Print_Area</vt:lpstr>
      <vt:lpstr>'10.1d'!Print_Area</vt:lpstr>
      <vt:lpstr>'10.2'!Print_Area</vt:lpstr>
      <vt:lpstr>'11.1'!Print_Area</vt:lpstr>
      <vt:lpstr>'11.2'!Print_Area</vt:lpstr>
      <vt:lpstr>'12'!Print_Area</vt:lpstr>
      <vt:lpstr>'2.1'!Print_Area</vt:lpstr>
      <vt:lpstr>'2.2a'!Print_Area</vt:lpstr>
      <vt:lpstr>'2.2b'!Print_Area</vt:lpstr>
      <vt:lpstr>'2.2c'!Print_Area</vt:lpstr>
      <vt:lpstr>'2.2d'!Print_Area</vt:lpstr>
      <vt:lpstr>'2.3a'!Print_Area</vt:lpstr>
      <vt:lpstr>'2.3b'!Print_Area</vt:lpstr>
      <vt:lpstr>'2.3c'!Print_Area</vt:lpstr>
      <vt:lpstr>'2.3d'!Print_Area</vt:lpstr>
      <vt:lpstr>'2.4a'!Print_Area</vt:lpstr>
      <vt:lpstr>'2.4b'!Print_Area</vt:lpstr>
      <vt:lpstr>'2.4c'!Print_Area</vt:lpstr>
      <vt:lpstr>'2.4d'!Print_Area</vt:lpstr>
      <vt:lpstr>'3.2 premium trend'!Print_Area</vt:lpstr>
      <vt:lpstr>'3.3a'!Print_Area</vt:lpstr>
      <vt:lpstr>'3.3b'!Print_Area</vt:lpstr>
      <vt:lpstr>'3.3c'!Print_Area</vt:lpstr>
      <vt:lpstr>'3.3d'!Print_Area</vt:lpstr>
      <vt:lpstr>'4.1'!Print_Area</vt:lpstr>
      <vt:lpstr>'4.2'!Print_Area</vt:lpstr>
      <vt:lpstr>'4.3AS loss Dev'!Print_Area</vt:lpstr>
      <vt:lpstr>'4.4'!Print_Area</vt:lpstr>
      <vt:lpstr>'4.5AS LAE Dev'!Print_Area</vt:lpstr>
      <vt:lpstr>'5'!Print_Area</vt:lpstr>
      <vt:lpstr>'6.1'!Print_Area</vt:lpstr>
      <vt:lpstr>'6.2'!Print_Area</vt:lpstr>
      <vt:lpstr>'6.3'!Print_Area</vt:lpstr>
      <vt:lpstr>'6.4'!Print_Area</vt:lpstr>
      <vt:lpstr>'6.5'!Print_Area</vt:lpstr>
      <vt:lpstr>'6.6'!Print_Area</vt:lpstr>
      <vt:lpstr>'6.7'!Print_Area</vt:lpstr>
      <vt:lpstr>'7.1'!Print_Area</vt:lpstr>
      <vt:lpstr>'7.2'!Print_Area</vt:lpstr>
      <vt:lpstr>'7.3'!Print_Area</vt:lpstr>
      <vt:lpstr>'7.4'!Print_Area</vt:lpstr>
      <vt:lpstr>'8.1'!Print_Area</vt:lpstr>
      <vt:lpstr>'8.2'!Print_Area</vt:lpstr>
      <vt:lpstr>'8.3'!Print_Area</vt:lpstr>
      <vt:lpstr>'8.4'!Print_Area</vt:lpstr>
      <vt:lpstr>'9'!Print_Area</vt:lpstr>
      <vt:lpstr>'ldf 3.1a'!Print_Area</vt:lpstr>
      <vt:lpstr>'ldf 3.1b'!Print_Area</vt:lpstr>
      <vt:lpstr>'Table of Contents'!Print_Area</vt:lpstr>
      <vt:lpstr>'trend 2.5'!Print_Area</vt:lpstr>
    </vt:vector>
  </TitlesOfParts>
  <Company>Republic Ins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Xiuyu Li</dc:creator>
  <cp:lastModifiedBy>Xiuyu Li</cp:lastModifiedBy>
  <cp:lastPrinted>2022-06-30T21:31:58Z</cp:lastPrinted>
  <dcterms:created xsi:type="dcterms:W3CDTF">2001-12-17T21:49:07Z</dcterms:created>
  <dcterms:modified xsi:type="dcterms:W3CDTF">2022-07-01T15:03:21Z</dcterms:modified>
</cp:coreProperties>
</file>