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howard\Desktop\"/>
    </mc:Choice>
  </mc:AlternateContent>
  <xr:revisionPtr revIDLastSave="0" documentId="13_ncr:1_{CF1BAD8A-A97E-4503-935A-574DE3DE7AAB}" xr6:coauthVersionLast="41" xr6:coauthVersionMax="41" xr10:uidLastSave="{00000000-0000-0000-0000-000000000000}"/>
  <bookViews>
    <workbookView xWindow="28680" yWindow="615" windowWidth="19440" windowHeight="15000" tabRatio="914" xr2:uid="{B012DC09-D67D-4D0A-BED9-E2C6C7FB96C4}"/>
  </bookViews>
  <sheets>
    <sheet name="Cover Page" sheetId="62" r:id="rId1"/>
    <sheet name="Table of Contents" sheetId="61" r:id="rId2"/>
    <sheet name="1" sheetId="1" r:id="rId3"/>
    <sheet name="2.1" sheetId="2" r:id="rId4"/>
    <sheet name="2.2a" sheetId="3" r:id="rId5"/>
    <sheet name="2.2b" sheetId="4" r:id="rId6"/>
    <sheet name="2.2c" sheetId="5" r:id="rId7"/>
    <sheet name="2.2d" sheetId="6" r:id="rId8"/>
    <sheet name="2.3a" sheetId="7" r:id="rId9"/>
    <sheet name="2.3b" sheetId="8" r:id="rId10"/>
    <sheet name="2.3c" sheetId="9" r:id="rId11"/>
    <sheet name="2.3d" sheetId="10" r:id="rId12"/>
    <sheet name="2.4a" sheetId="11" r:id="rId13"/>
    <sheet name="2.4b" sheetId="12" r:id="rId14"/>
    <sheet name="2.4c" sheetId="13" r:id="rId15"/>
    <sheet name="2.4d" sheetId="14" r:id="rId16"/>
    <sheet name="trend 2.5" sheetId="15" r:id="rId17"/>
    <sheet name="ldf 3.1a" sheetId="16" r:id="rId18"/>
    <sheet name="ldf 3.1b" sheetId="60" r:id="rId19"/>
    <sheet name="3.2 premium trend" sheetId="17" r:id="rId20"/>
    <sheet name="3.3a" sheetId="18" r:id="rId21"/>
    <sheet name="3.3b" sheetId="19" r:id="rId22"/>
    <sheet name="3.3c" sheetId="20" r:id="rId23"/>
    <sheet name="3.3d" sheetId="21" r:id="rId24"/>
    <sheet name="4.1" sheetId="22" r:id="rId25"/>
    <sheet name="4.2" sheetId="23" r:id="rId26"/>
    <sheet name="4.3AS loss Dev" sheetId="24" r:id="rId27"/>
    <sheet name="4.4" sheetId="25" r:id="rId28"/>
    <sheet name="4.5AS LAE Dev" sheetId="26" r:id="rId29"/>
    <sheet name="5" sheetId="27" r:id="rId30"/>
    <sheet name="6.1" sheetId="28" r:id="rId31"/>
    <sheet name="6.2" sheetId="29" r:id="rId32"/>
    <sheet name="6.3" sheetId="30" r:id="rId33"/>
    <sheet name="6.4" sheetId="31" r:id="rId34"/>
    <sheet name="6.5" sheetId="32" r:id="rId35"/>
    <sheet name="6.6" sheetId="33" r:id="rId36"/>
    <sheet name="6.7" sheetId="34" r:id="rId37"/>
    <sheet name="7.1" sheetId="35" r:id="rId38"/>
    <sheet name="7.2" sheetId="36" r:id="rId39"/>
    <sheet name="8.1" sheetId="37" r:id="rId40"/>
    <sheet name="8.2" sheetId="38" r:id="rId41"/>
    <sheet name="9" sheetId="40" r:id="rId42"/>
    <sheet name="10.1a" sheetId="41" r:id="rId43"/>
    <sheet name="10.1b" sheetId="42" r:id="rId44"/>
    <sheet name="10.1c" sheetId="43" r:id="rId45"/>
    <sheet name="10.1d" sheetId="44" r:id="rId46"/>
    <sheet name="10.2" sheetId="45" r:id="rId47"/>
    <sheet name="11.1" sheetId="46" r:id="rId48"/>
    <sheet name="11.2" sheetId="58" r:id="rId49"/>
    <sheet name="12" sheetId="48" r:id="rId50"/>
  </sheets>
  <externalReferences>
    <externalReference r:id="rId51"/>
    <externalReference r:id="rId52"/>
    <externalReference r:id="rId53"/>
  </externalReferences>
  <definedNames>
    <definedName name="_xlnm.Print_Area" localSheetId="2">'1'!$A$1:$K$68</definedName>
    <definedName name="_xlnm.Print_Area" localSheetId="42">'10.1a'!$A$1:$J$66</definedName>
    <definedName name="_xlnm.Print_Area" localSheetId="43">'10.1b'!$A$1:$J$62</definedName>
    <definedName name="_xlnm.Print_Area" localSheetId="44">'10.1c'!$A$1:$J$66</definedName>
    <definedName name="_xlnm.Print_Area" localSheetId="45">'10.1d'!$A$1:$J$66</definedName>
    <definedName name="_xlnm.Print_Area" localSheetId="46">'10.2'!$A$1:$J$68</definedName>
    <definedName name="_xlnm.Print_Area" localSheetId="47">'11.1'!$A$1:$J$67</definedName>
    <definedName name="_xlnm.Print_Area" localSheetId="48">'11.2'!$A$1:$H$68</definedName>
    <definedName name="_xlnm.Print_Area" localSheetId="49">'12'!$A$1:$J$70</definedName>
    <definedName name="_xlnm.Print_Area" localSheetId="3">'2.1'!$A$1:$J$68</definedName>
    <definedName name="_xlnm.Print_Area" localSheetId="4">'2.2a'!$A$1:$J$68</definedName>
    <definedName name="_xlnm.Print_Area" localSheetId="5">'2.2b'!$A$1:$J$68</definedName>
    <definedName name="_xlnm.Print_Area" localSheetId="6">'2.2c'!$A$1:$J$68</definedName>
    <definedName name="_xlnm.Print_Area" localSheetId="7">'2.2d'!$A$1:$J$68</definedName>
    <definedName name="_xlnm.Print_Area" localSheetId="8">'2.3a'!$A$1:$J$68</definedName>
    <definedName name="_xlnm.Print_Area" localSheetId="9">'2.3b'!$A$1:$J$68</definedName>
    <definedName name="_xlnm.Print_Area" localSheetId="10">'2.3c'!$A$1:$J$68</definedName>
    <definedName name="_xlnm.Print_Area" localSheetId="11">'2.3d'!$A$1:$J$68</definedName>
    <definedName name="_xlnm.Print_Area" localSheetId="12">'2.4a'!$A$1:$J$68</definedName>
    <definedName name="_xlnm.Print_Area" localSheetId="13">'2.4b'!$A$1:$J$68</definedName>
    <definedName name="_xlnm.Print_Area" localSheetId="14">'2.4c'!$A$1:$J$68</definedName>
    <definedName name="_xlnm.Print_Area" localSheetId="15">'2.4d'!$A$1:$J$68</definedName>
    <definedName name="_xlnm.Print_Area" localSheetId="19">'3.2 premium trend'!$A$1:$L$70</definedName>
    <definedName name="_xlnm.Print_Area" localSheetId="20">'3.3a'!$A$1:$L$68</definedName>
    <definedName name="_xlnm.Print_Area" localSheetId="21">'3.3b'!$A$1:$L$62</definedName>
    <definedName name="_xlnm.Print_Area" localSheetId="22">'3.3c'!$A$1:$L$68</definedName>
    <definedName name="_xlnm.Print_Area" localSheetId="23">'3.3d'!$A$1:$L$69</definedName>
    <definedName name="_xlnm.Print_Area" localSheetId="24">'4.1'!$A$1:$J$70</definedName>
    <definedName name="_xlnm.Print_Area" localSheetId="25">'4.2'!$A$1:$K$70</definedName>
    <definedName name="_xlnm.Print_Area" localSheetId="26">'4.3AS loss Dev'!$A$1:$K$68</definedName>
    <definedName name="_xlnm.Print_Area" localSheetId="27">'4.4'!$A$1:$J$69</definedName>
    <definedName name="_xlnm.Print_Area" localSheetId="28">'4.5AS LAE Dev'!$A$1:$K$70</definedName>
    <definedName name="_xlnm.Print_Area" localSheetId="29">'5'!$A$1:$H$68</definedName>
    <definedName name="_xlnm.Print_Area" localSheetId="30">'6.1'!$A$1:$K$59</definedName>
    <definedName name="_xlnm.Print_Area" localSheetId="31">'6.2'!$A$1:$J$75</definedName>
    <definedName name="_xlnm.Print_Area" localSheetId="32">'6.3'!$A$1:$I$70</definedName>
    <definedName name="_xlnm.Print_Area" localSheetId="33">'6.4'!$A$1:$I$61</definedName>
    <definedName name="_xlnm.Print_Area" localSheetId="34">'6.5'!$A$1:$I$61</definedName>
    <definedName name="_xlnm.Print_Area" localSheetId="35">'6.6'!$A$1:$I$60</definedName>
    <definedName name="_xlnm.Print_Area" localSheetId="36">'6.7'!$A$1:$I$60</definedName>
    <definedName name="_xlnm.Print_Area" localSheetId="37">'7.1'!$A$1:$K$68</definedName>
    <definedName name="_xlnm.Print_Area" localSheetId="38">'7.2'!$A$1:$K$68</definedName>
    <definedName name="_xlnm.Print_Area" localSheetId="39">'8.1'!$A$1:$K$68</definedName>
    <definedName name="_xlnm.Print_Area" localSheetId="40">'8.2'!$A$1:$K$68</definedName>
    <definedName name="_xlnm.Print_Area" localSheetId="41">'9'!$A$1:$J$68</definedName>
    <definedName name="_xlnm.Print_Area" localSheetId="0">'Cover Page'!$A$1:$H$39</definedName>
    <definedName name="_xlnm.Print_Area" localSheetId="17">'ldf 3.1a'!$A$1:$L$50</definedName>
    <definedName name="_xlnm.Print_Area" localSheetId="18">'ldf 3.1b'!$A$1:$L$52</definedName>
    <definedName name="_xlnm.Print_Area" localSheetId="1">'Table of Contents'!$A$1:$I$57</definedName>
    <definedName name="_xlnm.Print_Area" localSheetId="16">'trend 2.5'!$A$1:$L$63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61" l="1"/>
  <c r="E56" i="61" l="1"/>
  <c r="A56" i="61"/>
  <c r="G55" i="61"/>
  <c r="E55" i="61"/>
  <c r="C55" i="61"/>
  <c r="A55" i="61"/>
  <c r="G54" i="61"/>
  <c r="E54" i="61"/>
  <c r="A54" i="61"/>
  <c r="G53" i="61"/>
  <c r="E53" i="61"/>
  <c r="A53" i="61"/>
  <c r="G52" i="61"/>
  <c r="E52" i="61"/>
  <c r="C52" i="61"/>
  <c r="A52" i="61"/>
  <c r="G51" i="61"/>
  <c r="E51" i="61"/>
  <c r="C51" i="61"/>
  <c r="A51" i="61"/>
  <c r="G50" i="61"/>
  <c r="E50" i="61"/>
  <c r="C50" i="61"/>
  <c r="A50" i="61"/>
  <c r="G49" i="61"/>
  <c r="E49" i="61"/>
  <c r="C49" i="61"/>
  <c r="A49" i="61"/>
  <c r="E48" i="61"/>
  <c r="A48" i="61"/>
  <c r="G47" i="61"/>
  <c r="E47" i="61"/>
  <c r="A47" i="61"/>
  <c r="G46" i="61"/>
  <c r="E46" i="61"/>
  <c r="A46" i="61"/>
  <c r="G45" i="61"/>
  <c r="E45" i="61"/>
  <c r="A45" i="61"/>
  <c r="G44" i="61"/>
  <c r="E44" i="61"/>
  <c r="A44" i="61"/>
  <c r="G43" i="61"/>
  <c r="E43" i="61"/>
  <c r="C43" i="61"/>
  <c r="A43" i="61"/>
  <c r="G42" i="61"/>
  <c r="E42" i="61"/>
  <c r="C42" i="61"/>
  <c r="A42" i="61"/>
  <c r="G41" i="61"/>
  <c r="E41" i="61"/>
  <c r="C41" i="61"/>
  <c r="A41" i="61"/>
  <c r="G40" i="61"/>
  <c r="E40" i="61"/>
  <c r="C40" i="61"/>
  <c r="A40" i="61"/>
  <c r="A39" i="61"/>
  <c r="G38" i="61"/>
  <c r="E38" i="61"/>
  <c r="C38" i="61"/>
  <c r="A38" i="61"/>
  <c r="G37" i="61"/>
  <c r="E37" i="61"/>
  <c r="C37" i="61"/>
  <c r="A37" i="61"/>
  <c r="E36" i="61"/>
  <c r="A36" i="61"/>
  <c r="G35" i="61"/>
  <c r="E35" i="61"/>
  <c r="C35" i="61"/>
  <c r="A35" i="61"/>
  <c r="G34" i="61"/>
  <c r="E34" i="61"/>
  <c r="A34" i="61"/>
  <c r="G33" i="61"/>
  <c r="E33" i="61"/>
  <c r="C33" i="61"/>
  <c r="A33" i="61"/>
  <c r="G32" i="61"/>
  <c r="E32" i="61"/>
  <c r="A32" i="61"/>
  <c r="G31" i="61"/>
  <c r="E31" i="61"/>
  <c r="A31" i="61"/>
  <c r="G30" i="61"/>
  <c r="E30" i="61"/>
  <c r="C30" i="61"/>
  <c r="A30" i="61"/>
  <c r="G29" i="61"/>
  <c r="E29" i="61"/>
  <c r="C29" i="61"/>
  <c r="A29" i="61"/>
  <c r="G28" i="61"/>
  <c r="E28" i="61"/>
  <c r="C28" i="61"/>
  <c r="G27" i="61"/>
  <c r="E27" i="61"/>
  <c r="C27" i="61"/>
  <c r="A27" i="61"/>
  <c r="C26" i="61"/>
  <c r="A26" i="61"/>
  <c r="G25" i="61"/>
  <c r="E25" i="61"/>
  <c r="C25" i="61"/>
  <c r="A25" i="61"/>
  <c r="G24" i="61"/>
  <c r="E24" i="61"/>
  <c r="C24" i="61"/>
  <c r="A24" i="61"/>
  <c r="G23" i="61"/>
  <c r="E23" i="61"/>
  <c r="A23" i="61"/>
  <c r="G22" i="61"/>
  <c r="E22" i="61"/>
  <c r="C22" i="61"/>
  <c r="G21" i="61"/>
  <c r="E21" i="61"/>
  <c r="C21" i="61"/>
  <c r="G20" i="61"/>
  <c r="E20" i="61"/>
  <c r="C20" i="61"/>
  <c r="G19" i="61"/>
  <c r="E19" i="61"/>
  <c r="C19" i="61"/>
  <c r="G18" i="61"/>
  <c r="E18" i="61"/>
  <c r="C18" i="61"/>
  <c r="A18" i="61"/>
  <c r="G17" i="61"/>
  <c r="E17" i="61"/>
  <c r="C17" i="61"/>
  <c r="A17" i="61"/>
  <c r="G16" i="61"/>
  <c r="E16" i="61"/>
  <c r="C16" i="61"/>
  <c r="A16" i="61"/>
  <c r="G14" i="61"/>
  <c r="E14" i="61"/>
  <c r="C14" i="61"/>
  <c r="A14" i="61"/>
  <c r="G13" i="61"/>
  <c r="E13" i="61"/>
  <c r="C13" i="61"/>
  <c r="G15" i="61"/>
  <c r="E15" i="61"/>
  <c r="C15" i="61"/>
  <c r="A15" i="61"/>
  <c r="A13" i="61"/>
  <c r="G12" i="61"/>
  <c r="E12" i="61"/>
  <c r="C12" i="61"/>
  <c r="A12" i="61"/>
  <c r="G11" i="61"/>
  <c r="E11" i="61"/>
  <c r="C11" i="61"/>
  <c r="A11" i="61"/>
  <c r="G10" i="61"/>
  <c r="E10" i="61"/>
  <c r="C10" i="61"/>
  <c r="A10" i="61"/>
  <c r="E9" i="61"/>
  <c r="C9" i="61"/>
  <c r="K25" i="58" l="1"/>
  <c r="E24" i="45"/>
  <c r="C24" i="45"/>
  <c r="E23" i="45"/>
  <c r="C23" i="45"/>
  <c r="E22" i="45"/>
  <c r="C22" i="45"/>
  <c r="E21" i="45"/>
  <c r="C21" i="45"/>
  <c r="E20" i="45"/>
  <c r="C20" i="45"/>
  <c r="E19" i="45"/>
  <c r="C19" i="45"/>
  <c r="E18" i="45"/>
  <c r="C18" i="45"/>
  <c r="E17" i="45"/>
  <c r="C17" i="45"/>
  <c r="E16" i="45"/>
  <c r="C16" i="45"/>
  <c r="E15" i="45"/>
  <c r="C15" i="45"/>
  <c r="E14" i="45"/>
  <c r="C14" i="45"/>
  <c r="C23" i="44"/>
  <c r="C22" i="44"/>
  <c r="C21" i="44"/>
  <c r="C20" i="44"/>
  <c r="C19" i="44"/>
  <c r="C18" i="44"/>
  <c r="C17" i="44"/>
  <c r="C16" i="44"/>
  <c r="C15" i="44"/>
  <c r="C14" i="44"/>
  <c r="C23" i="43"/>
  <c r="C22" i="43"/>
  <c r="C21" i="43"/>
  <c r="C20" i="43"/>
  <c r="C19" i="43"/>
  <c r="C18" i="43"/>
  <c r="C17" i="43"/>
  <c r="C16" i="43"/>
  <c r="C15" i="43"/>
  <c r="C14" i="43"/>
  <c r="C23" i="42"/>
  <c r="C22" i="42"/>
  <c r="C21" i="42"/>
  <c r="C20" i="42"/>
  <c r="C19" i="42"/>
  <c r="C18" i="42"/>
  <c r="C17" i="42"/>
  <c r="C16" i="42"/>
  <c r="C15" i="42"/>
  <c r="C14" i="42"/>
  <c r="C23" i="41"/>
  <c r="L22" i="41"/>
  <c r="C22" i="41"/>
  <c r="C21" i="41"/>
  <c r="C20" i="41"/>
  <c r="C19" i="41"/>
  <c r="C18" i="41"/>
  <c r="C17" i="41"/>
  <c r="C16" i="41"/>
  <c r="C15" i="41"/>
  <c r="C14" i="41"/>
  <c r="D28" i="38"/>
  <c r="C28" i="38"/>
  <c r="D27" i="38"/>
  <c r="C27" i="38"/>
  <c r="D26" i="38"/>
  <c r="C26" i="38"/>
  <c r="D25" i="38"/>
  <c r="C25" i="38"/>
  <c r="D24" i="38"/>
  <c r="C24" i="38"/>
  <c r="D23" i="38"/>
  <c r="C23" i="38"/>
  <c r="D22" i="38"/>
  <c r="C22" i="38"/>
  <c r="D21" i="38"/>
  <c r="C21" i="38"/>
  <c r="D20" i="38"/>
  <c r="C20" i="38"/>
  <c r="D19" i="38"/>
  <c r="C19" i="38"/>
  <c r="D18" i="38"/>
  <c r="C18" i="38"/>
  <c r="D17" i="38"/>
  <c r="C17" i="38"/>
  <c r="D16" i="38"/>
  <c r="C16" i="38"/>
  <c r="D15" i="38"/>
  <c r="C15" i="38"/>
  <c r="D14" i="38"/>
  <c r="C14" i="38"/>
  <c r="M11" i="38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M11" i="36"/>
  <c r="M11" i="35"/>
  <c r="F49" i="34"/>
  <c r="C49" i="34"/>
  <c r="F48" i="34"/>
  <c r="C48" i="34"/>
  <c r="F47" i="34"/>
  <c r="C47" i="34"/>
  <c r="F46" i="34"/>
  <c r="C46" i="34"/>
  <c r="F45" i="34"/>
  <c r="C45" i="34"/>
  <c r="F44" i="34"/>
  <c r="C44" i="34"/>
  <c r="F43" i="34"/>
  <c r="C43" i="34"/>
  <c r="F42" i="34"/>
  <c r="C42" i="34"/>
  <c r="F41" i="34"/>
  <c r="C41" i="34"/>
  <c r="F40" i="34"/>
  <c r="C40" i="34"/>
  <c r="F39" i="34"/>
  <c r="C39" i="34"/>
  <c r="F38" i="34"/>
  <c r="C38" i="34"/>
  <c r="F37" i="34"/>
  <c r="C37" i="34"/>
  <c r="F36" i="34"/>
  <c r="C36" i="34"/>
  <c r="F35" i="34"/>
  <c r="C35" i="34"/>
  <c r="F34" i="34"/>
  <c r="C34" i="34"/>
  <c r="F33" i="34"/>
  <c r="C33" i="34"/>
  <c r="F32" i="34"/>
  <c r="C32" i="34"/>
  <c r="F31" i="34"/>
  <c r="C31" i="34"/>
  <c r="F30" i="34"/>
  <c r="C30" i="34"/>
  <c r="F29" i="34"/>
  <c r="C29" i="34"/>
  <c r="F28" i="34"/>
  <c r="C28" i="34"/>
  <c r="F27" i="34"/>
  <c r="C27" i="34"/>
  <c r="F26" i="34"/>
  <c r="C26" i="34"/>
  <c r="F25" i="34"/>
  <c r="C25" i="34"/>
  <c r="F24" i="34"/>
  <c r="C24" i="34"/>
  <c r="F23" i="34"/>
  <c r="C23" i="34"/>
  <c r="F22" i="34"/>
  <c r="C22" i="34"/>
  <c r="F49" i="33"/>
  <c r="C49" i="33"/>
  <c r="F48" i="33"/>
  <c r="C48" i="33"/>
  <c r="F47" i="33"/>
  <c r="C47" i="33"/>
  <c r="F46" i="33"/>
  <c r="C46" i="33"/>
  <c r="F45" i="33"/>
  <c r="C45" i="33"/>
  <c r="F44" i="33"/>
  <c r="C44" i="33"/>
  <c r="F43" i="33"/>
  <c r="C43" i="33"/>
  <c r="F42" i="33"/>
  <c r="C42" i="33"/>
  <c r="F41" i="33"/>
  <c r="C41" i="33"/>
  <c r="F40" i="33"/>
  <c r="C40" i="33"/>
  <c r="F39" i="33"/>
  <c r="C39" i="33"/>
  <c r="F38" i="33"/>
  <c r="C38" i="33"/>
  <c r="F37" i="33"/>
  <c r="C37" i="33"/>
  <c r="F36" i="33"/>
  <c r="C36" i="33"/>
  <c r="F35" i="33"/>
  <c r="C35" i="33"/>
  <c r="F34" i="33"/>
  <c r="C34" i="33"/>
  <c r="F33" i="33"/>
  <c r="C33" i="33"/>
  <c r="F32" i="33"/>
  <c r="C32" i="33"/>
  <c r="F31" i="33"/>
  <c r="C31" i="33"/>
  <c r="F30" i="33"/>
  <c r="C30" i="33"/>
  <c r="F29" i="33"/>
  <c r="C29" i="33"/>
  <c r="F28" i="33"/>
  <c r="C28" i="33"/>
  <c r="F27" i="33"/>
  <c r="C27" i="33"/>
  <c r="F26" i="33"/>
  <c r="C26" i="33"/>
  <c r="F25" i="33"/>
  <c r="C25" i="33"/>
  <c r="F24" i="33"/>
  <c r="C24" i="33"/>
  <c r="F23" i="33"/>
  <c r="C23" i="33"/>
  <c r="F22" i="33"/>
  <c r="C22" i="33"/>
  <c r="F49" i="32"/>
  <c r="C49" i="32"/>
  <c r="F48" i="32"/>
  <c r="C48" i="32"/>
  <c r="F47" i="32"/>
  <c r="C47" i="32"/>
  <c r="F46" i="32"/>
  <c r="C46" i="32"/>
  <c r="F45" i="32"/>
  <c r="C45" i="32"/>
  <c r="F44" i="32"/>
  <c r="C44" i="32"/>
  <c r="F43" i="32"/>
  <c r="C43" i="32"/>
  <c r="F42" i="32"/>
  <c r="C42" i="32"/>
  <c r="F41" i="32"/>
  <c r="C41" i="32"/>
  <c r="F40" i="32"/>
  <c r="C40" i="32"/>
  <c r="F39" i="32"/>
  <c r="C39" i="32"/>
  <c r="F38" i="32"/>
  <c r="C38" i="32"/>
  <c r="F37" i="32"/>
  <c r="C37" i="32"/>
  <c r="F36" i="32"/>
  <c r="C36" i="32"/>
  <c r="F35" i="32"/>
  <c r="C35" i="32"/>
  <c r="F34" i="32"/>
  <c r="C34" i="32"/>
  <c r="F33" i="32"/>
  <c r="C33" i="32"/>
  <c r="F32" i="32"/>
  <c r="C32" i="32"/>
  <c r="F31" i="32"/>
  <c r="C31" i="32"/>
  <c r="F30" i="32"/>
  <c r="C30" i="32"/>
  <c r="F29" i="32"/>
  <c r="C29" i="32"/>
  <c r="F28" i="32"/>
  <c r="C28" i="32"/>
  <c r="F27" i="32"/>
  <c r="C27" i="32"/>
  <c r="F26" i="32"/>
  <c r="C26" i="32"/>
  <c r="F25" i="32"/>
  <c r="C25" i="32"/>
  <c r="F24" i="32"/>
  <c r="C24" i="32"/>
  <c r="F23" i="32"/>
  <c r="C23" i="32"/>
  <c r="F22" i="32"/>
  <c r="C22" i="32"/>
  <c r="K59" i="31"/>
  <c r="L53" i="31"/>
  <c r="K53" i="31"/>
  <c r="F49" i="31"/>
  <c r="D49" i="31"/>
  <c r="C49" i="31"/>
  <c r="F48" i="31"/>
  <c r="D48" i="31"/>
  <c r="C48" i="31"/>
  <c r="F47" i="31"/>
  <c r="D47" i="31"/>
  <c r="C47" i="31"/>
  <c r="F46" i="31"/>
  <c r="D46" i="31"/>
  <c r="C46" i="31"/>
  <c r="F45" i="31"/>
  <c r="D45" i="31"/>
  <c r="C45" i="31"/>
  <c r="F44" i="31"/>
  <c r="D44" i="31"/>
  <c r="C44" i="31"/>
  <c r="F43" i="31"/>
  <c r="D43" i="31"/>
  <c r="C43" i="31"/>
  <c r="F42" i="31"/>
  <c r="D42" i="31"/>
  <c r="C42" i="31"/>
  <c r="F41" i="31"/>
  <c r="D41" i="31"/>
  <c r="C41" i="31"/>
  <c r="F40" i="31"/>
  <c r="D40" i="31"/>
  <c r="C40" i="31"/>
  <c r="F39" i="31"/>
  <c r="D39" i="31"/>
  <c r="C39" i="31"/>
  <c r="F38" i="31"/>
  <c r="D38" i="31"/>
  <c r="C38" i="31"/>
  <c r="F37" i="31"/>
  <c r="D37" i="31"/>
  <c r="C37" i="31"/>
  <c r="F36" i="31"/>
  <c r="D36" i="31"/>
  <c r="C36" i="31"/>
  <c r="F35" i="31"/>
  <c r="D35" i="31"/>
  <c r="C35" i="31"/>
  <c r="F34" i="31"/>
  <c r="D34" i="31"/>
  <c r="C34" i="31"/>
  <c r="F33" i="31"/>
  <c r="C33" i="31"/>
  <c r="F32" i="31"/>
  <c r="C32" i="31"/>
  <c r="F31" i="31"/>
  <c r="C31" i="31"/>
  <c r="F30" i="31"/>
  <c r="C30" i="31"/>
  <c r="F29" i="31"/>
  <c r="C29" i="31"/>
  <c r="F28" i="31"/>
  <c r="C28" i="31"/>
  <c r="F27" i="31"/>
  <c r="C27" i="31"/>
  <c r="F26" i="31"/>
  <c r="C26" i="31"/>
  <c r="F25" i="31"/>
  <c r="C25" i="31"/>
  <c r="F24" i="31"/>
  <c r="C24" i="31"/>
  <c r="F23" i="31"/>
  <c r="C23" i="31"/>
  <c r="F22" i="31"/>
  <c r="C22" i="31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D52" i="17"/>
  <c r="C52" i="17"/>
  <c r="D51" i="17"/>
  <c r="C51" i="17"/>
  <c r="D50" i="17"/>
  <c r="C50" i="17"/>
  <c r="E49" i="17"/>
  <c r="D49" i="17"/>
  <c r="C49" i="17"/>
  <c r="D48" i="17"/>
  <c r="C48" i="17"/>
  <c r="D47" i="17"/>
  <c r="C47" i="17"/>
  <c r="D46" i="17"/>
  <c r="C46" i="17"/>
  <c r="E45" i="17"/>
  <c r="D45" i="17"/>
  <c r="C45" i="17"/>
  <c r="D44" i="17"/>
  <c r="C44" i="17"/>
  <c r="D43" i="17"/>
  <c r="C43" i="17"/>
  <c r="D42" i="17"/>
  <c r="C42" i="17"/>
  <c r="E41" i="17"/>
  <c r="D41" i="17"/>
  <c r="C41" i="17"/>
  <c r="D40" i="17"/>
  <c r="C40" i="17"/>
  <c r="D39" i="17"/>
  <c r="C39" i="17"/>
  <c r="D38" i="17"/>
  <c r="C38" i="17"/>
  <c r="E37" i="17"/>
  <c r="D37" i="17"/>
  <c r="C37" i="17"/>
  <c r="D36" i="17"/>
  <c r="C36" i="17"/>
  <c r="D35" i="17"/>
  <c r="C35" i="17"/>
  <c r="D34" i="17"/>
  <c r="C34" i="17"/>
  <c r="E33" i="17"/>
  <c r="D33" i="17"/>
  <c r="C33" i="17"/>
  <c r="D32" i="17"/>
  <c r="C32" i="17"/>
  <c r="D31" i="17"/>
  <c r="C31" i="17"/>
  <c r="D30" i="17"/>
  <c r="C30" i="17"/>
  <c r="E29" i="17"/>
  <c r="D29" i="17"/>
  <c r="C29" i="17"/>
  <c r="D28" i="17"/>
  <c r="C28" i="17"/>
  <c r="D27" i="17"/>
  <c r="C27" i="17"/>
  <c r="D26" i="17"/>
  <c r="C26" i="17"/>
  <c r="E25" i="17"/>
  <c r="D25" i="17"/>
  <c r="C25" i="17"/>
  <c r="D24" i="17"/>
  <c r="C24" i="17"/>
  <c r="D23" i="17"/>
  <c r="C23" i="17"/>
  <c r="D22" i="17"/>
  <c r="C22" i="17"/>
  <c r="E21" i="17"/>
  <c r="D21" i="17"/>
  <c r="C21" i="17"/>
  <c r="D20" i="17"/>
  <c r="C20" i="17"/>
  <c r="D19" i="17"/>
  <c r="C19" i="17"/>
  <c r="E18" i="17"/>
  <c r="D18" i="17"/>
  <c r="C18" i="17"/>
  <c r="D17" i="17"/>
  <c r="C17" i="17"/>
  <c r="D16" i="17"/>
  <c r="C16" i="17"/>
  <c r="D15" i="17"/>
  <c r="C15" i="17"/>
  <c r="E14" i="17"/>
  <c r="D14" i="17"/>
  <c r="C14" i="17"/>
  <c r="O23" i="60"/>
  <c r="N23" i="60"/>
  <c r="C23" i="60"/>
  <c r="D22" i="60"/>
  <c r="C22" i="60"/>
  <c r="E21" i="60"/>
  <c r="D21" i="60"/>
  <c r="C21" i="60"/>
  <c r="F20" i="60"/>
  <c r="E20" i="60"/>
  <c r="D20" i="60"/>
  <c r="C20" i="60"/>
  <c r="G19" i="60"/>
  <c r="F19" i="60"/>
  <c r="E19" i="60"/>
  <c r="D19" i="60"/>
  <c r="C19" i="60"/>
  <c r="H18" i="60"/>
  <c r="G18" i="60"/>
  <c r="F18" i="60"/>
  <c r="E18" i="60"/>
  <c r="D18" i="60"/>
  <c r="C18" i="60"/>
  <c r="I17" i="60"/>
  <c r="H17" i="60"/>
  <c r="G17" i="60"/>
  <c r="F17" i="60"/>
  <c r="E17" i="60"/>
  <c r="D17" i="60"/>
  <c r="C17" i="60"/>
  <c r="J16" i="60"/>
  <c r="I16" i="60"/>
  <c r="H16" i="60"/>
  <c r="G16" i="60"/>
  <c r="F16" i="60"/>
  <c r="E16" i="60"/>
  <c r="D16" i="60"/>
  <c r="C16" i="60"/>
  <c r="K15" i="60"/>
  <c r="J15" i="60"/>
  <c r="I15" i="60"/>
  <c r="H15" i="60"/>
  <c r="G15" i="60"/>
  <c r="F15" i="60"/>
  <c r="E15" i="60"/>
  <c r="D15" i="60"/>
  <c r="C15" i="60"/>
  <c r="K14" i="60"/>
  <c r="J14" i="60"/>
  <c r="I14" i="60"/>
  <c r="H14" i="60"/>
  <c r="G14" i="60"/>
  <c r="F14" i="60"/>
  <c r="E14" i="60"/>
  <c r="D14" i="60"/>
  <c r="C14" i="60"/>
  <c r="O23" i="16"/>
  <c r="N23" i="16"/>
  <c r="C23" i="16"/>
  <c r="D22" i="16"/>
  <c r="C22" i="16"/>
  <c r="E21" i="16"/>
  <c r="D21" i="16"/>
  <c r="C21" i="16"/>
  <c r="F20" i="16"/>
  <c r="E20" i="16"/>
  <c r="D20" i="16"/>
  <c r="C20" i="16"/>
  <c r="G19" i="16"/>
  <c r="F19" i="16"/>
  <c r="E19" i="16"/>
  <c r="D19" i="16"/>
  <c r="C19" i="16"/>
  <c r="H18" i="16"/>
  <c r="G18" i="16"/>
  <c r="F18" i="16"/>
  <c r="E18" i="16"/>
  <c r="D18" i="16"/>
  <c r="C18" i="16"/>
  <c r="I17" i="16"/>
  <c r="H17" i="16"/>
  <c r="G17" i="16"/>
  <c r="F17" i="16"/>
  <c r="E17" i="16"/>
  <c r="D17" i="16"/>
  <c r="C17" i="16"/>
  <c r="J16" i="16"/>
  <c r="I16" i="16"/>
  <c r="H16" i="16"/>
  <c r="G16" i="16"/>
  <c r="F16" i="16"/>
  <c r="E16" i="16"/>
  <c r="D16" i="16"/>
  <c r="C16" i="16"/>
  <c r="K15" i="16"/>
  <c r="J15" i="16"/>
  <c r="I15" i="16"/>
  <c r="H15" i="16"/>
  <c r="G15" i="16"/>
  <c r="F15" i="16"/>
  <c r="E15" i="16"/>
  <c r="D15" i="16"/>
  <c r="C15" i="16"/>
  <c r="K14" i="16"/>
  <c r="J14" i="16"/>
  <c r="I14" i="16"/>
  <c r="H14" i="16"/>
  <c r="G14" i="16"/>
  <c r="F14" i="16"/>
  <c r="E14" i="16"/>
  <c r="D14" i="16"/>
  <c r="C14" i="16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23" i="11"/>
  <c r="C23" i="11"/>
  <c r="M22" i="11"/>
  <c r="L22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C17" i="2"/>
  <c r="C16" i="2"/>
  <c r="C15" i="2"/>
  <c r="C14" i="2"/>
  <c r="G12" i="30" l="1"/>
  <c r="J35" i="58" l="1"/>
  <c r="B53" i="46" l="1"/>
  <c r="B54" i="46"/>
  <c r="B55" i="46"/>
  <c r="B56" i="46"/>
  <c r="B57" i="46"/>
  <c r="B58" i="46"/>
  <c r="B59" i="46"/>
  <c r="B60" i="46"/>
  <c r="B46" i="58" l="1"/>
  <c r="B44" i="58" l="1"/>
  <c r="E14" i="36" l="1"/>
  <c r="L47" i="30"/>
  <c r="L48" i="30"/>
  <c r="L14" i="30"/>
  <c r="K45" i="60"/>
  <c r="K46" i="60"/>
  <c r="K48" i="60" s="1"/>
  <c r="E37" i="60"/>
  <c r="E33" i="60"/>
  <c r="I31" i="60"/>
  <c r="K39" i="60"/>
  <c r="J39" i="60"/>
  <c r="I39" i="60"/>
  <c r="H39" i="60"/>
  <c r="G39" i="60"/>
  <c r="F39" i="60"/>
  <c r="E39" i="60"/>
  <c r="D39" i="60"/>
  <c r="K38" i="60"/>
  <c r="J38" i="60"/>
  <c r="I38" i="60"/>
  <c r="H38" i="60"/>
  <c r="G38" i="60"/>
  <c r="F38" i="60"/>
  <c r="E38" i="60"/>
  <c r="K37" i="60"/>
  <c r="J37" i="60"/>
  <c r="I37" i="60"/>
  <c r="H37" i="60"/>
  <c r="G37" i="60"/>
  <c r="F37" i="60"/>
  <c r="K36" i="60"/>
  <c r="J36" i="60"/>
  <c r="I36" i="60"/>
  <c r="H36" i="60"/>
  <c r="G36" i="60"/>
  <c r="K35" i="60"/>
  <c r="J35" i="60"/>
  <c r="I35" i="60"/>
  <c r="H35" i="60"/>
  <c r="K34" i="60"/>
  <c r="J34" i="60"/>
  <c r="I34" i="60"/>
  <c r="K33" i="60"/>
  <c r="J33" i="60"/>
  <c r="K32" i="60"/>
  <c r="K29" i="60"/>
  <c r="J29" i="60"/>
  <c r="I29" i="60"/>
  <c r="H29" i="60"/>
  <c r="G29" i="60"/>
  <c r="F29" i="60"/>
  <c r="E29" i="60"/>
  <c r="D29" i="60"/>
  <c r="C29" i="60"/>
  <c r="A29" i="60"/>
  <c r="K12" i="60"/>
  <c r="J12" i="60"/>
  <c r="I12" i="60"/>
  <c r="H12" i="60"/>
  <c r="G12" i="60"/>
  <c r="F12" i="60"/>
  <c r="E12" i="60"/>
  <c r="D12" i="60"/>
  <c r="C12" i="60"/>
  <c r="A12" i="60"/>
  <c r="A3" i="60"/>
  <c r="A2" i="60"/>
  <c r="A1" i="60"/>
  <c r="D34" i="34"/>
  <c r="D49" i="34"/>
  <c r="C17" i="7"/>
  <c r="C18" i="7"/>
  <c r="C20" i="7"/>
  <c r="C21" i="7"/>
  <c r="C22" i="7"/>
  <c r="C23" i="7"/>
  <c r="C14" i="7"/>
  <c r="E14" i="7" s="1"/>
  <c r="C14" i="3" s="1"/>
  <c r="C15" i="8"/>
  <c r="C17" i="8"/>
  <c r="C18" i="8"/>
  <c r="C19" i="8"/>
  <c r="C20" i="8"/>
  <c r="C21" i="8"/>
  <c r="C22" i="8"/>
  <c r="C23" i="8"/>
  <c r="C15" i="9"/>
  <c r="C18" i="9"/>
  <c r="C19" i="9"/>
  <c r="C20" i="9"/>
  <c r="C22" i="9"/>
  <c r="E23" i="13"/>
  <c r="C14" i="9"/>
  <c r="E14" i="9" s="1"/>
  <c r="C14" i="5" s="1"/>
  <c r="C16" i="10"/>
  <c r="C17" i="10"/>
  <c r="C19" i="10"/>
  <c r="C20" i="10"/>
  <c r="C21" i="10"/>
  <c r="E15" i="17"/>
  <c r="E16" i="17" s="1"/>
  <c r="E17" i="17"/>
  <c r="E26" i="17"/>
  <c r="E27" i="17" s="1"/>
  <c r="E28" i="17" s="1"/>
  <c r="E30" i="17"/>
  <c r="E31" i="17" s="1"/>
  <c r="E32" i="17" s="1"/>
  <c r="E34" i="17"/>
  <c r="E35" i="17" s="1"/>
  <c r="E38" i="17"/>
  <c r="F38" i="17" s="1"/>
  <c r="E42" i="17"/>
  <c r="E43" i="17" s="1"/>
  <c r="E46" i="17"/>
  <c r="E50" i="17"/>
  <c r="A14" i="25"/>
  <c r="G13" i="25"/>
  <c r="D14" i="22" s="1"/>
  <c r="D51" i="25"/>
  <c r="F51" i="25"/>
  <c r="C52" i="23"/>
  <c r="D52" i="23"/>
  <c r="E52" i="23"/>
  <c r="C52" i="22" s="1"/>
  <c r="O5" i="28"/>
  <c r="E50" i="40"/>
  <c r="E51" i="40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D22" i="48"/>
  <c r="C22" i="48"/>
  <c r="F21" i="48"/>
  <c r="D21" i="48"/>
  <c r="C21" i="48"/>
  <c r="F20" i="48"/>
  <c r="D20" i="48"/>
  <c r="C20" i="48"/>
  <c r="F19" i="48"/>
  <c r="D19" i="48"/>
  <c r="C19" i="48"/>
  <c r="F18" i="48"/>
  <c r="D18" i="48"/>
  <c r="C18" i="48"/>
  <c r="F17" i="48"/>
  <c r="D17" i="48"/>
  <c r="C17" i="48"/>
  <c r="F16" i="48"/>
  <c r="D16" i="48"/>
  <c r="C16" i="48"/>
  <c r="F15" i="48"/>
  <c r="D15" i="48"/>
  <c r="C15" i="48"/>
  <c r="F14" i="48"/>
  <c r="D14" i="48"/>
  <c r="C14" i="48"/>
  <c r="B45" i="58"/>
  <c r="D22" i="58"/>
  <c r="J18" i="58"/>
  <c r="D24" i="58" s="1"/>
  <c r="D18" i="58"/>
  <c r="D20" i="58" s="1"/>
  <c r="D13" i="58"/>
  <c r="D15" i="58" s="1"/>
  <c r="C13" i="58"/>
  <c r="C18" i="58" s="1"/>
  <c r="K10" i="58"/>
  <c r="J10" i="58"/>
  <c r="D10" i="58"/>
  <c r="B52" i="46"/>
  <c r="G46" i="46"/>
  <c r="B46" i="46"/>
  <c r="A46" i="46"/>
  <c r="B44" i="46"/>
  <c r="A44" i="46"/>
  <c r="B42" i="46"/>
  <c r="A42" i="46"/>
  <c r="G40" i="46"/>
  <c r="B40" i="46"/>
  <c r="A40" i="46"/>
  <c r="F35" i="46"/>
  <c r="E35" i="46"/>
  <c r="D35" i="46"/>
  <c r="G32" i="46"/>
  <c r="F29" i="46"/>
  <c r="E29" i="46"/>
  <c r="D29" i="46"/>
  <c r="F26" i="46"/>
  <c r="E26" i="46"/>
  <c r="D26" i="46"/>
  <c r="G23" i="46"/>
  <c r="F22" i="46"/>
  <c r="E22" i="46"/>
  <c r="D22" i="46"/>
  <c r="G19" i="46"/>
  <c r="F18" i="46"/>
  <c r="E18" i="46"/>
  <c r="D18" i="46"/>
  <c r="F15" i="46"/>
  <c r="E15" i="46"/>
  <c r="D15" i="46"/>
  <c r="F14" i="46"/>
  <c r="E14" i="46"/>
  <c r="D14" i="46"/>
  <c r="B55" i="40"/>
  <c r="G46" i="40"/>
  <c r="F46" i="40"/>
  <c r="E46" i="40"/>
  <c r="G45" i="40"/>
  <c r="F45" i="40"/>
  <c r="E45" i="40"/>
  <c r="G44" i="40"/>
  <c r="F44" i="40"/>
  <c r="E44" i="40"/>
  <c r="C44" i="40"/>
  <c r="B44" i="40"/>
  <c r="A44" i="40"/>
  <c r="G43" i="40"/>
  <c r="F43" i="40"/>
  <c r="E43" i="40"/>
  <c r="C43" i="40"/>
  <c r="B43" i="40"/>
  <c r="A43" i="40"/>
  <c r="G42" i="40"/>
  <c r="F42" i="40"/>
  <c r="E42" i="40"/>
  <c r="C42" i="40"/>
  <c r="B42" i="40"/>
  <c r="A42" i="40"/>
  <c r="G41" i="40"/>
  <c r="F41" i="40"/>
  <c r="E41" i="40"/>
  <c r="C41" i="40"/>
  <c r="B41" i="40"/>
  <c r="A41" i="40"/>
  <c r="G40" i="40"/>
  <c r="F40" i="40"/>
  <c r="E40" i="40"/>
  <c r="C40" i="40"/>
  <c r="B40" i="40"/>
  <c r="A40" i="40"/>
  <c r="G39" i="40"/>
  <c r="F39" i="40"/>
  <c r="E39" i="40"/>
  <c r="C39" i="40"/>
  <c r="B39" i="40"/>
  <c r="A39" i="40"/>
  <c r="G38" i="40"/>
  <c r="F38" i="40"/>
  <c r="E38" i="40"/>
  <c r="C38" i="40"/>
  <c r="B38" i="40"/>
  <c r="A38" i="40"/>
  <c r="G37" i="40"/>
  <c r="F37" i="40"/>
  <c r="E37" i="40"/>
  <c r="C37" i="40"/>
  <c r="B37" i="40"/>
  <c r="A37" i="40"/>
  <c r="G36" i="40"/>
  <c r="F36" i="40"/>
  <c r="E36" i="40"/>
  <c r="C36" i="40"/>
  <c r="B36" i="40"/>
  <c r="A36" i="40"/>
  <c r="G35" i="40"/>
  <c r="F35" i="40"/>
  <c r="E35" i="40"/>
  <c r="C35" i="40"/>
  <c r="B35" i="40"/>
  <c r="A35" i="40"/>
  <c r="G34" i="40"/>
  <c r="F34" i="40"/>
  <c r="E34" i="40"/>
  <c r="C34" i="40"/>
  <c r="B34" i="40"/>
  <c r="A34" i="40"/>
  <c r="G33" i="40"/>
  <c r="F33" i="40"/>
  <c r="E33" i="40"/>
  <c r="C33" i="40"/>
  <c r="B33" i="40"/>
  <c r="A33" i="40"/>
  <c r="G32" i="40"/>
  <c r="F32" i="40"/>
  <c r="E32" i="40"/>
  <c r="C32" i="40"/>
  <c r="B32" i="40"/>
  <c r="A32" i="40"/>
  <c r="G31" i="40"/>
  <c r="F31" i="40"/>
  <c r="E31" i="40"/>
  <c r="C31" i="40"/>
  <c r="B31" i="40"/>
  <c r="A31" i="40"/>
  <c r="G30" i="40"/>
  <c r="F30" i="40"/>
  <c r="E30" i="40"/>
  <c r="C30" i="40"/>
  <c r="B30" i="40"/>
  <c r="A30" i="40"/>
  <c r="G29" i="40"/>
  <c r="F29" i="40"/>
  <c r="E29" i="40"/>
  <c r="C29" i="40"/>
  <c r="B29" i="40"/>
  <c r="A29" i="40"/>
  <c r="G28" i="40"/>
  <c r="F28" i="40"/>
  <c r="E28" i="40"/>
  <c r="C28" i="40"/>
  <c r="B28" i="40"/>
  <c r="A28" i="40"/>
  <c r="G27" i="40"/>
  <c r="F27" i="40"/>
  <c r="E27" i="40"/>
  <c r="C27" i="40"/>
  <c r="B27" i="40"/>
  <c r="A27" i="40"/>
  <c r="G26" i="40"/>
  <c r="F26" i="40"/>
  <c r="E26" i="40"/>
  <c r="C26" i="40"/>
  <c r="B26" i="40"/>
  <c r="A26" i="40"/>
  <c r="G25" i="40"/>
  <c r="F25" i="40"/>
  <c r="E25" i="40"/>
  <c r="C25" i="40"/>
  <c r="B25" i="40"/>
  <c r="A25" i="40"/>
  <c r="G24" i="40"/>
  <c r="F24" i="40"/>
  <c r="E24" i="40"/>
  <c r="C24" i="40"/>
  <c r="B24" i="40"/>
  <c r="A24" i="40"/>
  <c r="G23" i="40"/>
  <c r="F23" i="40"/>
  <c r="E23" i="40"/>
  <c r="C23" i="40"/>
  <c r="B23" i="40"/>
  <c r="A23" i="40"/>
  <c r="G22" i="40"/>
  <c r="F22" i="40"/>
  <c r="E22" i="40"/>
  <c r="C22" i="40"/>
  <c r="B22" i="40"/>
  <c r="A22" i="40"/>
  <c r="G21" i="40"/>
  <c r="F21" i="40"/>
  <c r="E21" i="40"/>
  <c r="C21" i="40"/>
  <c r="B21" i="40"/>
  <c r="A21" i="40"/>
  <c r="G20" i="40"/>
  <c r="F20" i="40"/>
  <c r="E20" i="40"/>
  <c r="C20" i="40"/>
  <c r="B20" i="40"/>
  <c r="A20" i="40"/>
  <c r="G19" i="40"/>
  <c r="F19" i="40"/>
  <c r="E19" i="40"/>
  <c r="C19" i="40"/>
  <c r="B19" i="40"/>
  <c r="A19" i="40"/>
  <c r="G18" i="40"/>
  <c r="F18" i="40"/>
  <c r="E18" i="40"/>
  <c r="C18" i="40"/>
  <c r="B18" i="40"/>
  <c r="A18" i="40"/>
  <c r="G17" i="40"/>
  <c r="F17" i="40"/>
  <c r="E17" i="40"/>
  <c r="C17" i="40"/>
  <c r="B17" i="40"/>
  <c r="A17" i="40"/>
  <c r="G16" i="40"/>
  <c r="F16" i="40"/>
  <c r="E16" i="40"/>
  <c r="C16" i="40"/>
  <c r="B16" i="40"/>
  <c r="A16" i="40"/>
  <c r="G15" i="40"/>
  <c r="F15" i="40"/>
  <c r="E15" i="40"/>
  <c r="C15" i="40"/>
  <c r="B15" i="40"/>
  <c r="A15" i="40"/>
  <c r="G14" i="40"/>
  <c r="F14" i="40"/>
  <c r="E14" i="40"/>
  <c r="C14" i="40"/>
  <c r="B14" i="40"/>
  <c r="A14" i="40"/>
  <c r="B33" i="35"/>
  <c r="B33" i="37" s="1"/>
  <c r="I49" i="26"/>
  <c r="I50" i="26" s="1"/>
  <c r="H49" i="26"/>
  <c r="G49" i="26"/>
  <c r="F49" i="26"/>
  <c r="E49" i="26"/>
  <c r="D49" i="26"/>
  <c r="C49" i="26"/>
  <c r="M23" i="26"/>
  <c r="A24" i="26" s="1"/>
  <c r="A23" i="26" s="1"/>
  <c r="A22" i="26" s="1"/>
  <c r="A40" i="26" s="1"/>
  <c r="D23" i="26"/>
  <c r="C23" i="26"/>
  <c r="E22" i="26"/>
  <c r="D22" i="26"/>
  <c r="C22" i="26"/>
  <c r="F21" i="26"/>
  <c r="E21" i="26"/>
  <c r="D21" i="26"/>
  <c r="C21" i="26"/>
  <c r="G20" i="26"/>
  <c r="F20" i="26"/>
  <c r="E20" i="26"/>
  <c r="D20" i="26"/>
  <c r="C20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M11" i="26"/>
  <c r="C11" i="26" s="1"/>
  <c r="D11" i="26" s="1"/>
  <c r="E11" i="26" s="1"/>
  <c r="F11" i="26" s="1"/>
  <c r="B59" i="25"/>
  <c r="B57" i="25"/>
  <c r="G50" i="25"/>
  <c r="D51" i="22" s="1"/>
  <c r="F50" i="25"/>
  <c r="E50" i="25"/>
  <c r="D50" i="25"/>
  <c r="C50" i="25"/>
  <c r="G49" i="25"/>
  <c r="D50" i="22" s="1"/>
  <c r="F49" i="25"/>
  <c r="E49" i="25"/>
  <c r="D49" i="25"/>
  <c r="C49" i="25"/>
  <c r="G48" i="25"/>
  <c r="D49" i="22" s="1"/>
  <c r="F48" i="25"/>
  <c r="E48" i="25"/>
  <c r="D48" i="25"/>
  <c r="C48" i="25"/>
  <c r="G47" i="25"/>
  <c r="D48" i="22" s="1"/>
  <c r="F47" i="25"/>
  <c r="E47" i="25"/>
  <c r="D47" i="25"/>
  <c r="C47" i="25"/>
  <c r="G46" i="25"/>
  <c r="D47" i="22" s="1"/>
  <c r="F46" i="25"/>
  <c r="E46" i="25"/>
  <c r="D46" i="25"/>
  <c r="C46" i="25"/>
  <c r="G45" i="25"/>
  <c r="D46" i="22" s="1"/>
  <c r="F45" i="25"/>
  <c r="E45" i="25"/>
  <c r="D45" i="25"/>
  <c r="C45" i="25"/>
  <c r="G44" i="25"/>
  <c r="D45" i="22" s="1"/>
  <c r="F44" i="25"/>
  <c r="E44" i="25"/>
  <c r="D44" i="25"/>
  <c r="C44" i="25"/>
  <c r="G43" i="25"/>
  <c r="D44" i="22" s="1"/>
  <c r="F43" i="25"/>
  <c r="E43" i="25"/>
  <c r="D43" i="25"/>
  <c r="C43" i="25"/>
  <c r="G42" i="25"/>
  <c r="D43" i="22" s="1"/>
  <c r="F42" i="25"/>
  <c r="E42" i="25"/>
  <c r="D42" i="25"/>
  <c r="C42" i="25"/>
  <c r="G41" i="25"/>
  <c r="D42" i="22" s="1"/>
  <c r="F41" i="25"/>
  <c r="E41" i="25"/>
  <c r="D41" i="25"/>
  <c r="C41" i="25"/>
  <c r="G40" i="25"/>
  <c r="D41" i="22" s="1"/>
  <c r="F40" i="25"/>
  <c r="E40" i="25"/>
  <c r="G39" i="25"/>
  <c r="D40" i="22" s="1"/>
  <c r="F39" i="25"/>
  <c r="E39" i="25"/>
  <c r="G38" i="25"/>
  <c r="D39" i="22" s="1"/>
  <c r="F38" i="25"/>
  <c r="E38" i="25"/>
  <c r="G37" i="25"/>
  <c r="D38" i="22" s="1"/>
  <c r="F37" i="25"/>
  <c r="E37" i="25"/>
  <c r="G36" i="25"/>
  <c r="D37" i="22" s="1"/>
  <c r="F36" i="25"/>
  <c r="E36" i="25"/>
  <c r="G35" i="25"/>
  <c r="D36" i="22" s="1"/>
  <c r="F35" i="25"/>
  <c r="E35" i="25"/>
  <c r="G34" i="25"/>
  <c r="D35" i="22" s="1"/>
  <c r="F34" i="25"/>
  <c r="E34" i="25"/>
  <c r="G33" i="25"/>
  <c r="D34" i="22" s="1"/>
  <c r="F33" i="25"/>
  <c r="E33" i="25"/>
  <c r="G32" i="25"/>
  <c r="D33" i="22" s="1"/>
  <c r="F32" i="25"/>
  <c r="E32" i="25"/>
  <c r="G31" i="25"/>
  <c r="D32" i="22" s="1"/>
  <c r="F31" i="25"/>
  <c r="E31" i="25"/>
  <c r="G30" i="25"/>
  <c r="D31" i="22" s="1"/>
  <c r="F30" i="25"/>
  <c r="E30" i="25"/>
  <c r="G29" i="25"/>
  <c r="D30" i="22" s="1"/>
  <c r="F29" i="25"/>
  <c r="E29" i="25"/>
  <c r="G28" i="25"/>
  <c r="D29" i="22" s="1"/>
  <c r="F28" i="25"/>
  <c r="E28" i="25"/>
  <c r="G27" i="25"/>
  <c r="D28" i="22" s="1"/>
  <c r="F27" i="25"/>
  <c r="E27" i="25"/>
  <c r="G26" i="25"/>
  <c r="D27" i="22" s="1"/>
  <c r="F26" i="25"/>
  <c r="E26" i="25"/>
  <c r="G25" i="25"/>
  <c r="D26" i="22" s="1"/>
  <c r="F25" i="25"/>
  <c r="E25" i="25"/>
  <c r="G24" i="25"/>
  <c r="D25" i="22" s="1"/>
  <c r="F24" i="25"/>
  <c r="E24" i="25"/>
  <c r="G23" i="25"/>
  <c r="D24" i="22" s="1"/>
  <c r="F23" i="25"/>
  <c r="E23" i="25"/>
  <c r="G22" i="25"/>
  <c r="D23" i="22" s="1"/>
  <c r="F22" i="25"/>
  <c r="E22" i="25"/>
  <c r="G21" i="25"/>
  <c r="D22" i="22" s="1"/>
  <c r="G20" i="25"/>
  <c r="D21" i="22" s="1"/>
  <c r="G19" i="25"/>
  <c r="D20" i="22" s="1"/>
  <c r="G18" i="25"/>
  <c r="D19" i="22" s="1"/>
  <c r="G17" i="25"/>
  <c r="D18" i="22" s="1"/>
  <c r="G16" i="25"/>
  <c r="D17" i="22" s="1"/>
  <c r="G15" i="25"/>
  <c r="D16" i="22" s="1"/>
  <c r="G14" i="25"/>
  <c r="D15" i="22" s="1"/>
  <c r="I47" i="24"/>
  <c r="I48" i="24" s="1"/>
  <c r="H47" i="24"/>
  <c r="G47" i="24"/>
  <c r="F47" i="24"/>
  <c r="E47" i="24"/>
  <c r="D47" i="24"/>
  <c r="C47" i="24"/>
  <c r="M23" i="24"/>
  <c r="A23" i="24" s="1"/>
  <c r="A22" i="24" s="1"/>
  <c r="C23" i="24"/>
  <c r="D22" i="24"/>
  <c r="C22" i="24"/>
  <c r="E21" i="24"/>
  <c r="D21" i="24"/>
  <c r="C21" i="24"/>
  <c r="F20" i="24"/>
  <c r="E20" i="24"/>
  <c r="D20" i="24"/>
  <c r="C20" i="24"/>
  <c r="G19" i="24"/>
  <c r="F19" i="24"/>
  <c r="E19" i="24"/>
  <c r="D19" i="24"/>
  <c r="C19" i="24"/>
  <c r="H18" i="24"/>
  <c r="G18" i="24"/>
  <c r="F18" i="24"/>
  <c r="E18" i="24"/>
  <c r="D18" i="24"/>
  <c r="C18" i="24"/>
  <c r="I17" i="24"/>
  <c r="H17" i="24"/>
  <c r="G17" i="24"/>
  <c r="F17" i="24"/>
  <c r="E17" i="24"/>
  <c r="D17" i="24"/>
  <c r="C17" i="24"/>
  <c r="I16" i="24"/>
  <c r="H16" i="24"/>
  <c r="G16" i="24"/>
  <c r="F16" i="24"/>
  <c r="E16" i="24"/>
  <c r="D16" i="24"/>
  <c r="C16" i="24"/>
  <c r="I15" i="24"/>
  <c r="H15" i="24"/>
  <c r="G15" i="24"/>
  <c r="F15" i="24"/>
  <c r="E15" i="24"/>
  <c r="D15" i="24"/>
  <c r="C15" i="24"/>
  <c r="I14" i="24"/>
  <c r="H14" i="24"/>
  <c r="G14" i="24"/>
  <c r="F14" i="24"/>
  <c r="E14" i="24"/>
  <c r="D14" i="24"/>
  <c r="C14" i="24"/>
  <c r="M11" i="24"/>
  <c r="C11" i="24" s="1"/>
  <c r="C51" i="23"/>
  <c r="E50" i="23"/>
  <c r="C50" i="22" s="1"/>
  <c r="D50" i="23"/>
  <c r="C50" i="23"/>
  <c r="E49" i="23"/>
  <c r="C49" i="22" s="1"/>
  <c r="D49" i="23"/>
  <c r="C49" i="23"/>
  <c r="E48" i="23"/>
  <c r="C48" i="22" s="1"/>
  <c r="D48" i="23"/>
  <c r="C48" i="23"/>
  <c r="E47" i="23"/>
  <c r="C47" i="22" s="1"/>
  <c r="D47" i="23"/>
  <c r="C47" i="23"/>
  <c r="E46" i="23"/>
  <c r="C46" i="22" s="1"/>
  <c r="D46" i="23"/>
  <c r="C46" i="23"/>
  <c r="E45" i="23"/>
  <c r="C45" i="22" s="1"/>
  <c r="D45" i="23"/>
  <c r="C45" i="23"/>
  <c r="E44" i="23"/>
  <c r="C44" i="22" s="1"/>
  <c r="E43" i="23"/>
  <c r="C43" i="22" s="1"/>
  <c r="E42" i="23"/>
  <c r="C42" i="22" s="1"/>
  <c r="E41" i="23"/>
  <c r="C41" i="22" s="1"/>
  <c r="E40" i="23"/>
  <c r="C40" i="22" s="1"/>
  <c r="E39" i="23"/>
  <c r="C39" i="22" s="1"/>
  <c r="E38" i="23"/>
  <c r="C38" i="22" s="1"/>
  <c r="E37" i="23"/>
  <c r="C37" i="22" s="1"/>
  <c r="E36" i="23"/>
  <c r="C36" i="22" s="1"/>
  <c r="E35" i="23"/>
  <c r="C35" i="22" s="1"/>
  <c r="E34" i="23"/>
  <c r="C34" i="22" s="1"/>
  <c r="E33" i="23"/>
  <c r="C33" i="22" s="1"/>
  <c r="E32" i="23"/>
  <c r="C32" i="22" s="1"/>
  <c r="E31" i="23"/>
  <c r="C31" i="22" s="1"/>
  <c r="E30" i="23"/>
  <c r="C30" i="22" s="1"/>
  <c r="E29" i="23"/>
  <c r="C29" i="22" s="1"/>
  <c r="E28" i="23"/>
  <c r="C28" i="22" s="1"/>
  <c r="E27" i="23"/>
  <c r="C27" i="22" s="1"/>
  <c r="E26" i="23"/>
  <c r="C26" i="22" s="1"/>
  <c r="E25" i="23"/>
  <c r="C25" i="22" s="1"/>
  <c r="E24" i="23"/>
  <c r="C24" i="22" s="1"/>
  <c r="E23" i="23"/>
  <c r="C23" i="22" s="1"/>
  <c r="E22" i="23"/>
  <c r="C22" i="22" s="1"/>
  <c r="E21" i="23"/>
  <c r="C21" i="22" s="1"/>
  <c r="E20" i="23"/>
  <c r="C20" i="22" s="1"/>
  <c r="E19" i="23"/>
  <c r="C19" i="22" s="1"/>
  <c r="E18" i="23"/>
  <c r="C18" i="22" s="1"/>
  <c r="E17" i="23"/>
  <c r="C17" i="22" s="1"/>
  <c r="E16" i="23"/>
  <c r="C16" i="22" s="1"/>
  <c r="E15" i="23"/>
  <c r="C15" i="22" s="1"/>
  <c r="E14" i="23"/>
  <c r="C14" i="22" s="1"/>
  <c r="O32" i="18"/>
  <c r="P32" i="18"/>
  <c r="C21" i="18"/>
  <c r="D16" i="18"/>
  <c r="E18" i="18"/>
  <c r="D57" i="30"/>
  <c r="L22" i="44"/>
  <c r="A23" i="44" s="1"/>
  <c r="A22" i="44" s="1"/>
  <c r="A21" i="44" s="1"/>
  <c r="A20" i="44" s="1"/>
  <c r="A19" i="44" s="1"/>
  <c r="A18" i="44" s="1"/>
  <c r="A17" i="44" s="1"/>
  <c r="A16" i="44" s="1"/>
  <c r="A15" i="44" s="1"/>
  <c r="A14" i="44" s="1"/>
  <c r="C28" i="37"/>
  <c r="C27" i="37"/>
  <c r="C26" i="37"/>
  <c r="C25" i="37"/>
  <c r="C24" i="37"/>
  <c r="C23" i="37"/>
  <c r="C22" i="37"/>
  <c r="C21" i="37"/>
  <c r="C20" i="37"/>
  <c r="C18" i="37"/>
  <c r="C17" i="37"/>
  <c r="C16" i="37"/>
  <c r="C14" i="37"/>
  <c r="J14" i="58"/>
  <c r="C28" i="35"/>
  <c r="C27" i="35"/>
  <c r="C26" i="35"/>
  <c r="C24" i="35"/>
  <c r="C23" i="35"/>
  <c r="C22" i="35"/>
  <c r="C21" i="35"/>
  <c r="C20" i="35"/>
  <c r="C19" i="35"/>
  <c r="C18" i="35"/>
  <c r="C17" i="35"/>
  <c r="C16" i="35"/>
  <c r="C15" i="35"/>
  <c r="C14" i="35"/>
  <c r="C11" i="36"/>
  <c r="M47" i="29"/>
  <c r="D32" i="16"/>
  <c r="M22" i="9"/>
  <c r="L11" i="5"/>
  <c r="A12" i="32"/>
  <c r="D67" i="29"/>
  <c r="B41" i="35"/>
  <c r="B41" i="37"/>
  <c r="E33" i="37"/>
  <c r="A15" i="23"/>
  <c r="A16" i="23"/>
  <c r="A17" i="23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K45" i="16"/>
  <c r="N9" i="20"/>
  <c r="N14" i="31"/>
  <c r="O14" i="31" s="1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31" i="38"/>
  <c r="B51" i="15"/>
  <c r="I16" i="15"/>
  <c r="L29" i="58"/>
  <c r="N51" i="17"/>
  <c r="N50" i="17" s="1"/>
  <c r="A52" i="17"/>
  <c r="O52" i="17"/>
  <c r="E12" i="14"/>
  <c r="D12" i="14"/>
  <c r="C12" i="14"/>
  <c r="E12" i="13"/>
  <c r="D12" i="13"/>
  <c r="C12" i="13"/>
  <c r="B31" i="13" s="1"/>
  <c r="E12" i="12"/>
  <c r="D12" i="12"/>
  <c r="C12" i="12"/>
  <c r="B31" i="12" s="1"/>
  <c r="E12" i="11"/>
  <c r="D12" i="11"/>
  <c r="C12" i="11"/>
  <c r="D11" i="29"/>
  <c r="A1" i="48"/>
  <c r="A2" i="48"/>
  <c r="A3" i="48"/>
  <c r="A12" i="48"/>
  <c r="C12" i="48"/>
  <c r="D12" i="48"/>
  <c r="E12" i="48"/>
  <c r="F12" i="48"/>
  <c r="B47" i="48" s="1"/>
  <c r="G12" i="48"/>
  <c r="A15" i="48"/>
  <c r="A16" i="48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1" i="58"/>
  <c r="A2" i="58"/>
  <c r="A3" i="58"/>
  <c r="B30" i="58"/>
  <c r="B41" i="58"/>
  <c r="B42" i="58"/>
  <c r="B47" i="58"/>
  <c r="A1" i="46"/>
  <c r="A2" i="46"/>
  <c r="A3" i="46"/>
  <c r="A1" i="45"/>
  <c r="A2" i="45"/>
  <c r="A3" i="45"/>
  <c r="A12" i="45"/>
  <c r="C12" i="45"/>
  <c r="B30" i="45" s="1"/>
  <c r="D12" i="45"/>
  <c r="E12" i="45"/>
  <c r="A1" i="44"/>
  <c r="A2" i="44"/>
  <c r="A3" i="44"/>
  <c r="A12" i="44"/>
  <c r="C12" i="44"/>
  <c r="D12" i="44"/>
  <c r="B31" i="44" s="1"/>
  <c r="E12" i="44"/>
  <c r="A1" i="43"/>
  <c r="A2" i="43"/>
  <c r="A3" i="43"/>
  <c r="A12" i="43"/>
  <c r="C12" i="43"/>
  <c r="B30" i="43"/>
  <c r="D12" i="43"/>
  <c r="E12" i="43"/>
  <c r="A1" i="42"/>
  <c r="A2" i="42"/>
  <c r="A3" i="42"/>
  <c r="A12" i="42"/>
  <c r="C12" i="42"/>
  <c r="B30" i="42"/>
  <c r="D12" i="42"/>
  <c r="B31" i="42"/>
  <c r="E12" i="42"/>
  <c r="A1" i="41"/>
  <c r="A2" i="41"/>
  <c r="A3" i="41"/>
  <c r="A12" i="41"/>
  <c r="C12" i="41"/>
  <c r="D12" i="41"/>
  <c r="B31" i="41"/>
  <c r="E12" i="41"/>
  <c r="A1" i="40"/>
  <c r="A2" i="40"/>
  <c r="A3" i="40"/>
  <c r="A4" i="40"/>
  <c r="A12" i="40"/>
  <c r="E12" i="40" s="1"/>
  <c r="C12" i="40"/>
  <c r="A51" i="40"/>
  <c r="A1" i="38"/>
  <c r="A2" i="38"/>
  <c r="A3" i="38"/>
  <c r="A12" i="38"/>
  <c r="C12" i="38"/>
  <c r="B35" i="38" s="1"/>
  <c r="D12" i="38"/>
  <c r="E12" i="38"/>
  <c r="B37" i="38"/>
  <c r="F12" i="38"/>
  <c r="A1" i="37"/>
  <c r="A2" i="37"/>
  <c r="A3" i="37"/>
  <c r="A12" i="37"/>
  <c r="C12" i="37"/>
  <c r="B38" i="37"/>
  <c r="D12" i="37"/>
  <c r="B39" i="37"/>
  <c r="E12" i="37"/>
  <c r="B42" i="37" s="1"/>
  <c r="B40" i="37"/>
  <c r="A1" i="36"/>
  <c r="A2" i="36"/>
  <c r="A3" i="36"/>
  <c r="A12" i="36"/>
  <c r="C12" i="36"/>
  <c r="B35" i="36"/>
  <c r="D12" i="36"/>
  <c r="B36" i="36" s="1"/>
  <c r="E12" i="36"/>
  <c r="F12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31" i="36"/>
  <c r="A1" i="35"/>
  <c r="A2" i="35"/>
  <c r="A3" i="35"/>
  <c r="A12" i="35"/>
  <c r="C12" i="35"/>
  <c r="B38" i="35" s="1"/>
  <c r="D12" i="35"/>
  <c r="B39" i="35"/>
  <c r="E12" i="35"/>
  <c r="B42" i="35" s="1"/>
  <c r="M33" i="35"/>
  <c r="A1" i="34"/>
  <c r="A2" i="34"/>
  <c r="A3" i="34"/>
  <c r="A12" i="34"/>
  <c r="C12" i="34"/>
  <c r="D12" i="34"/>
  <c r="A56" i="34" s="1"/>
  <c r="E12" i="34"/>
  <c r="F12" i="34"/>
  <c r="A59" i="34"/>
  <c r="G12" i="34"/>
  <c r="A15" i="34"/>
  <c r="A16" i="34"/>
  <c r="A17" i="34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1" i="33"/>
  <c r="A2" i="33"/>
  <c r="A3" i="33"/>
  <c r="A12" i="33"/>
  <c r="C12" i="33"/>
  <c r="D12" i="33"/>
  <c r="A56" i="33"/>
  <c r="E12" i="33"/>
  <c r="A57" i="33" s="1"/>
  <c r="F12" i="33"/>
  <c r="G12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1" i="32"/>
  <c r="A2" i="32"/>
  <c r="A3" i="32"/>
  <c r="C12" i="32"/>
  <c r="D12" i="32"/>
  <c r="A57" i="32" s="1"/>
  <c r="E12" i="32"/>
  <c r="F12" i="32"/>
  <c r="G12" i="32"/>
  <c r="A60" i="32" s="1"/>
  <c r="A15" i="32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1" i="31"/>
  <c r="A2" i="31"/>
  <c r="A3" i="31"/>
  <c r="A12" i="31"/>
  <c r="C12" i="31"/>
  <c r="A58" i="31" s="1"/>
  <c r="D12" i="31"/>
  <c r="A57" i="31"/>
  <c r="E12" i="31"/>
  <c r="F12" i="31"/>
  <c r="G12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" i="30"/>
  <c r="A2" i="30"/>
  <c r="A3" i="30"/>
  <c r="A12" i="30"/>
  <c r="C12" i="30"/>
  <c r="B62" i="30" s="1"/>
  <c r="D12" i="30"/>
  <c r="B63" i="30" s="1"/>
  <c r="E12" i="30"/>
  <c r="B64" i="30" s="1"/>
  <c r="F12" i="30"/>
  <c r="B65" i="30" s="1"/>
  <c r="B66" i="30"/>
  <c r="A15" i="30"/>
  <c r="L15" i="30" s="1"/>
  <c r="C53" i="30"/>
  <c r="B68" i="30"/>
  <c r="B69" i="30"/>
  <c r="A1" i="29"/>
  <c r="A2" i="29"/>
  <c r="A3" i="29"/>
  <c r="A5" i="29"/>
  <c r="A11" i="29"/>
  <c r="C11" i="29"/>
  <c r="E11" i="29"/>
  <c r="F11" i="29"/>
  <c r="G11" i="29"/>
  <c r="H11" i="29"/>
  <c r="A14" i="29"/>
  <c r="A1" i="28"/>
  <c r="A2" i="28"/>
  <c r="A3" i="28"/>
  <c r="A5" i="28"/>
  <c r="A12" i="28"/>
  <c r="C12" i="28"/>
  <c r="E12" i="28"/>
  <c r="B47" i="28" s="1"/>
  <c r="B48" i="28"/>
  <c r="B49" i="28"/>
  <c r="B50" i="28"/>
  <c r="B51" i="28"/>
  <c r="A1" i="27"/>
  <c r="A2" i="27"/>
  <c r="A3" i="27"/>
  <c r="A12" i="27"/>
  <c r="C12" i="27"/>
  <c r="B24" i="27" s="1"/>
  <c r="D12" i="27"/>
  <c r="B25" i="27" s="1"/>
  <c r="E12" i="27"/>
  <c r="B26" i="27" s="1"/>
  <c r="A1" i="26"/>
  <c r="A2" i="26"/>
  <c r="A3" i="26"/>
  <c r="A12" i="26"/>
  <c r="C12" i="26"/>
  <c r="D12" i="26"/>
  <c r="E12" i="26"/>
  <c r="F12" i="26"/>
  <c r="G12" i="26"/>
  <c r="H12" i="26"/>
  <c r="I12" i="26"/>
  <c r="A30" i="26"/>
  <c r="C30" i="26"/>
  <c r="D30" i="26"/>
  <c r="E30" i="26"/>
  <c r="F30" i="26"/>
  <c r="G30" i="26"/>
  <c r="H30" i="26"/>
  <c r="I30" i="26"/>
  <c r="I32" i="26"/>
  <c r="I33" i="26"/>
  <c r="I34" i="26"/>
  <c r="I35" i="26"/>
  <c r="I36" i="26"/>
  <c r="H37" i="26"/>
  <c r="I37" i="26"/>
  <c r="G38" i="26"/>
  <c r="H38" i="26"/>
  <c r="I38" i="26"/>
  <c r="F39" i="26"/>
  <c r="G39" i="26"/>
  <c r="H39" i="26"/>
  <c r="I39" i="26"/>
  <c r="E40" i="26"/>
  <c r="F40" i="26"/>
  <c r="G40" i="26"/>
  <c r="H40" i="26"/>
  <c r="I40" i="26"/>
  <c r="A1" i="25"/>
  <c r="A2" i="25"/>
  <c r="A3" i="25"/>
  <c r="A12" i="25"/>
  <c r="C12" i="25"/>
  <c r="B55" i="25" s="1"/>
  <c r="D12" i="25"/>
  <c r="B56" i="25" s="1"/>
  <c r="E12" i="25"/>
  <c r="F12" i="25"/>
  <c r="B58" i="25"/>
  <c r="G12" i="25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1" i="24"/>
  <c r="A2" i="24"/>
  <c r="A3" i="24"/>
  <c r="A12" i="24"/>
  <c r="C12" i="24"/>
  <c r="D12" i="24"/>
  <c r="E12" i="24"/>
  <c r="F12" i="24"/>
  <c r="G12" i="24"/>
  <c r="H12" i="24"/>
  <c r="I12" i="24"/>
  <c r="A29" i="24"/>
  <c r="C29" i="24"/>
  <c r="D29" i="24"/>
  <c r="E29" i="24"/>
  <c r="F29" i="24"/>
  <c r="G29" i="24"/>
  <c r="H29" i="24"/>
  <c r="I29" i="24"/>
  <c r="I31" i="24"/>
  <c r="I32" i="24"/>
  <c r="I33" i="24"/>
  <c r="I34" i="24"/>
  <c r="H35" i="24"/>
  <c r="I35" i="24"/>
  <c r="G36" i="24"/>
  <c r="H36" i="24"/>
  <c r="I36" i="24"/>
  <c r="F37" i="24"/>
  <c r="G37" i="24"/>
  <c r="H37" i="24"/>
  <c r="I37" i="24"/>
  <c r="E38" i="24"/>
  <c r="F38" i="24"/>
  <c r="G38" i="24"/>
  <c r="H38" i="24"/>
  <c r="I38" i="24"/>
  <c r="D39" i="24"/>
  <c r="E39" i="24"/>
  <c r="F39" i="24"/>
  <c r="G39" i="24"/>
  <c r="H39" i="24"/>
  <c r="I39" i="24"/>
  <c r="A1" i="23"/>
  <c r="A2" i="23"/>
  <c r="A3" i="23"/>
  <c r="M11" i="23"/>
  <c r="C11" i="23"/>
  <c r="A12" i="23"/>
  <c r="C12" i="23"/>
  <c r="B55" i="23" s="1"/>
  <c r="D12" i="23"/>
  <c r="B56" i="23" s="1"/>
  <c r="E12" i="23"/>
  <c r="A1" i="22"/>
  <c r="A2" i="22"/>
  <c r="A3" i="22"/>
  <c r="A12" i="22"/>
  <c r="C12" i="22"/>
  <c r="B64" i="22"/>
  <c r="D12" i="22"/>
  <c r="E12" i="22"/>
  <c r="B66" i="22" s="1"/>
  <c r="F12" i="22"/>
  <c r="B67" i="22" s="1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B65" i="22"/>
  <c r="A1" i="21"/>
  <c r="A2" i="21"/>
  <c r="A3" i="21"/>
  <c r="A12" i="21"/>
  <c r="C12" i="21"/>
  <c r="B63" i="21"/>
  <c r="D12" i="21"/>
  <c r="B64" i="21" s="1"/>
  <c r="E12" i="21"/>
  <c r="F12" i="21"/>
  <c r="G12" i="21"/>
  <c r="H12" i="21"/>
  <c r="I12" i="21"/>
  <c r="J12" i="21"/>
  <c r="K12" i="21"/>
  <c r="A55" i="21"/>
  <c r="A54" i="21" s="1"/>
  <c r="A1" i="20"/>
  <c r="A2" i="20"/>
  <c r="A3" i="20"/>
  <c r="A53" i="20"/>
  <c r="A52" i="20"/>
  <c r="A51" i="20" s="1"/>
  <c r="N51" i="20" s="1"/>
  <c r="A12" i="20"/>
  <c r="C12" i="20"/>
  <c r="B61" i="20" s="1"/>
  <c r="D12" i="20"/>
  <c r="E12" i="20"/>
  <c r="F12" i="20"/>
  <c r="G12" i="20"/>
  <c r="H12" i="20"/>
  <c r="I12" i="20"/>
  <c r="J12" i="20"/>
  <c r="K12" i="20"/>
  <c r="A1" i="19"/>
  <c r="A2" i="19"/>
  <c r="A3" i="19"/>
  <c r="A12" i="19"/>
  <c r="C12" i="19"/>
  <c r="B61" i="19" s="1"/>
  <c r="D12" i="19"/>
  <c r="B62" i="19" s="1"/>
  <c r="E12" i="19"/>
  <c r="F12" i="19"/>
  <c r="G12" i="19"/>
  <c r="H12" i="19"/>
  <c r="I12" i="19"/>
  <c r="J12" i="19"/>
  <c r="K12" i="19"/>
  <c r="A53" i="19"/>
  <c r="N53" i="19" s="1"/>
  <c r="A1" i="18"/>
  <c r="A2" i="18"/>
  <c r="A3" i="18"/>
  <c r="A11" i="18"/>
  <c r="A12" i="18"/>
  <c r="C12" i="18"/>
  <c r="B34" i="18"/>
  <c r="D12" i="18"/>
  <c r="B35" i="18"/>
  <c r="E12" i="18"/>
  <c r="B36" i="18"/>
  <c r="F12" i="18"/>
  <c r="A23" i="18"/>
  <c r="A22" i="18" s="1"/>
  <c r="N32" i="18"/>
  <c r="B39" i="18" s="1"/>
  <c r="A1" i="17"/>
  <c r="A2" i="17"/>
  <c r="A3" i="17"/>
  <c r="A12" i="17"/>
  <c r="C12" i="17"/>
  <c r="D12" i="17"/>
  <c r="E12" i="17"/>
  <c r="C63" i="17" s="1"/>
  <c r="F12" i="17"/>
  <c r="G12" i="17"/>
  <c r="I12" i="17"/>
  <c r="J12" i="17"/>
  <c r="K12" i="17"/>
  <c r="L12" i="17"/>
  <c r="G63" i="17"/>
  <c r="G64" i="17"/>
  <c r="G65" i="17"/>
  <c r="A1" i="16"/>
  <c r="A2" i="16"/>
  <c r="A3" i="16"/>
  <c r="A12" i="16"/>
  <c r="C12" i="16"/>
  <c r="D12" i="16"/>
  <c r="E12" i="16"/>
  <c r="F12" i="16"/>
  <c r="G12" i="16"/>
  <c r="H12" i="16"/>
  <c r="I12" i="16"/>
  <c r="J12" i="16"/>
  <c r="K12" i="16"/>
  <c r="A29" i="16"/>
  <c r="C29" i="16"/>
  <c r="D29" i="16"/>
  <c r="E29" i="16"/>
  <c r="F29" i="16"/>
  <c r="G29" i="16"/>
  <c r="H29" i="16"/>
  <c r="I29" i="16"/>
  <c r="J29" i="16"/>
  <c r="K29" i="16"/>
  <c r="K31" i="16"/>
  <c r="K32" i="16"/>
  <c r="J33" i="16"/>
  <c r="K33" i="16"/>
  <c r="I34" i="16"/>
  <c r="J34" i="16"/>
  <c r="K34" i="16"/>
  <c r="H35" i="16"/>
  <c r="I35" i="16"/>
  <c r="J35" i="16"/>
  <c r="K35" i="16"/>
  <c r="G36" i="16"/>
  <c r="H36" i="16"/>
  <c r="I36" i="16"/>
  <c r="J36" i="16"/>
  <c r="K36" i="16"/>
  <c r="F37" i="16"/>
  <c r="G37" i="16"/>
  <c r="H37" i="16"/>
  <c r="I37" i="16"/>
  <c r="J37" i="16"/>
  <c r="K37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A1" i="15"/>
  <c r="A2" i="15"/>
  <c r="A3" i="15"/>
  <c r="I17" i="15"/>
  <c r="A39" i="15"/>
  <c r="A38" i="15" s="1"/>
  <c r="A37" i="15"/>
  <c r="A36" i="15" s="1"/>
  <c r="A35" i="15" s="1"/>
  <c r="A34" i="15" s="1"/>
  <c r="A33" i="15" s="1"/>
  <c r="A32" i="15" s="1"/>
  <c r="A31" i="15" s="1"/>
  <c r="A30" i="15" s="1"/>
  <c r="B44" i="15"/>
  <c r="B45" i="15"/>
  <c r="B46" i="15"/>
  <c r="B47" i="15"/>
  <c r="B48" i="15"/>
  <c r="B49" i="15"/>
  <c r="B50" i="15"/>
  <c r="B52" i="15"/>
  <c r="B53" i="15"/>
  <c r="B54" i="15"/>
  <c r="B55" i="15"/>
  <c r="A1" i="14"/>
  <c r="A2" i="14"/>
  <c r="A3" i="14"/>
  <c r="A12" i="14"/>
  <c r="A1" i="13"/>
  <c r="A2" i="13"/>
  <c r="A3" i="13"/>
  <c r="A12" i="13"/>
  <c r="A1" i="12"/>
  <c r="A2" i="12"/>
  <c r="A3" i="12"/>
  <c r="A12" i="12"/>
  <c r="A1" i="11"/>
  <c r="A2" i="11"/>
  <c r="A3" i="11"/>
  <c r="A12" i="11"/>
  <c r="A1" i="10"/>
  <c r="A2" i="10"/>
  <c r="A3" i="10"/>
  <c r="A12" i="10"/>
  <c r="C12" i="10"/>
  <c r="D12" i="10"/>
  <c r="B31" i="10" s="1"/>
  <c r="E12" i="10"/>
  <c r="A1" i="9"/>
  <c r="A2" i="9"/>
  <c r="A3" i="9"/>
  <c r="A12" i="9"/>
  <c r="C12" i="9"/>
  <c r="D12" i="9"/>
  <c r="B31" i="9"/>
  <c r="E12" i="9"/>
  <c r="B32" i="9"/>
  <c r="A1" i="8"/>
  <c r="A2" i="8"/>
  <c r="A3" i="8"/>
  <c r="A12" i="8"/>
  <c r="C12" i="8"/>
  <c r="D12" i="8"/>
  <c r="B31" i="8" s="1"/>
  <c r="E12" i="8"/>
  <c r="A1" i="7"/>
  <c r="A2" i="7"/>
  <c r="A3" i="7"/>
  <c r="A12" i="7"/>
  <c r="C12" i="7"/>
  <c r="B32" i="7" s="1"/>
  <c r="D12" i="7"/>
  <c r="B31" i="7"/>
  <c r="E12" i="7"/>
  <c r="A1" i="6"/>
  <c r="A2" i="6"/>
  <c r="A3" i="6"/>
  <c r="A12" i="6"/>
  <c r="C12" i="6"/>
  <c r="B30" i="6" s="1"/>
  <c r="D12" i="6"/>
  <c r="B31" i="6"/>
  <c r="E12" i="6"/>
  <c r="F12" i="6"/>
  <c r="B35" i="6" s="1"/>
  <c r="G12" i="6"/>
  <c r="B34" i="6"/>
  <c r="H12" i="6"/>
  <c r="A1" i="5"/>
  <c r="A2" i="5"/>
  <c r="A3" i="5"/>
  <c r="A12" i="5"/>
  <c r="C12" i="5"/>
  <c r="B30" i="5"/>
  <c r="D12" i="5"/>
  <c r="B31" i="5"/>
  <c r="E12" i="5"/>
  <c r="B32" i="5"/>
  <c r="F12" i="5"/>
  <c r="G12" i="5"/>
  <c r="B34" i="5" s="1"/>
  <c r="H12" i="5"/>
  <c r="A1" i="4"/>
  <c r="A2" i="4"/>
  <c r="A3" i="4"/>
  <c r="A12" i="4"/>
  <c r="C12" i="4"/>
  <c r="B30" i="4" s="1"/>
  <c r="D12" i="4"/>
  <c r="B31" i="4" s="1"/>
  <c r="E12" i="4"/>
  <c r="B32" i="4" s="1"/>
  <c r="F12" i="4"/>
  <c r="G12" i="4"/>
  <c r="H12" i="4"/>
  <c r="A1" i="3"/>
  <c r="A2" i="3"/>
  <c r="A3" i="3"/>
  <c r="A12" i="3"/>
  <c r="C12" i="3"/>
  <c r="B30" i="3"/>
  <c r="D12" i="3"/>
  <c r="E12" i="3"/>
  <c r="B32" i="3" s="1"/>
  <c r="F12" i="3"/>
  <c r="B33" i="3" s="1"/>
  <c r="G12" i="3"/>
  <c r="B34" i="3"/>
  <c r="H12" i="3"/>
  <c r="B35" i="3"/>
  <c r="A1" i="2"/>
  <c r="A2" i="2"/>
  <c r="A3" i="2"/>
  <c r="C9" i="2"/>
  <c r="A12" i="2"/>
  <c r="C12" i="2"/>
  <c r="B23" i="2" s="1"/>
  <c r="D12" i="2"/>
  <c r="E12" i="2"/>
  <c r="B25" i="2" s="1"/>
  <c r="A12" i="1"/>
  <c r="C12" i="1"/>
  <c r="B26" i="1" s="1"/>
  <c r="D12" i="1"/>
  <c r="B27" i="1"/>
  <c r="E12" i="1"/>
  <c r="B28" i="1" s="1"/>
  <c r="F12" i="1"/>
  <c r="G12" i="1"/>
  <c r="B30" i="1"/>
  <c r="H12" i="1"/>
  <c r="B31" i="1" s="1"/>
  <c r="I12" i="1"/>
  <c r="B32" i="1"/>
  <c r="C11" i="25"/>
  <c r="O51" i="17"/>
  <c r="B36" i="38"/>
  <c r="A51" i="17"/>
  <c r="B32" i="42"/>
  <c r="G12" i="40"/>
  <c r="C51" i="40"/>
  <c r="B37" i="28"/>
  <c r="M33" i="37"/>
  <c r="B43" i="15"/>
  <c r="B31" i="45"/>
  <c r="B31" i="11"/>
  <c r="O26" i="31"/>
  <c r="O23" i="31"/>
  <c r="O25" i="31"/>
  <c r="P25" i="31" s="1"/>
  <c r="O20" i="31"/>
  <c r="A58" i="32"/>
  <c r="O15" i="31"/>
  <c r="P15" i="31" s="1"/>
  <c r="D30" i="31" s="1"/>
  <c r="O27" i="31"/>
  <c r="O18" i="31"/>
  <c r="O21" i="31"/>
  <c r="P21" i="31" s="1"/>
  <c r="O19" i="31"/>
  <c r="O28" i="31"/>
  <c r="O24" i="31"/>
  <c r="O16" i="31"/>
  <c r="O29" i="31"/>
  <c r="P18" i="31"/>
  <c r="O22" i="31"/>
  <c r="P22" i="31"/>
  <c r="O17" i="31"/>
  <c r="A15" i="29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P17" i="31"/>
  <c r="D32" i="31"/>
  <c r="D32" i="32" s="1"/>
  <c r="P29" i="31"/>
  <c r="P23" i="31"/>
  <c r="B31" i="43"/>
  <c r="B32" i="43"/>
  <c r="B45" i="48"/>
  <c r="B46" i="48"/>
  <c r="B33" i="4"/>
  <c r="B33" i="5"/>
  <c r="B37" i="36"/>
  <c r="B38" i="36"/>
  <c r="B30" i="41"/>
  <c r="B32" i="41"/>
  <c r="B30" i="44"/>
  <c r="B32" i="44"/>
  <c r="A46" i="23"/>
  <c r="A47" i="23" s="1"/>
  <c r="A48" i="23" s="1"/>
  <c r="A49" i="23" s="1"/>
  <c r="A50" i="23" s="1"/>
  <c r="A51" i="23" s="1"/>
  <c r="A52" i="23" s="1"/>
  <c r="A57" i="34"/>
  <c r="B34" i="4"/>
  <c r="C62" i="17"/>
  <c r="C64" i="17"/>
  <c r="B29" i="1"/>
  <c r="B31" i="3"/>
  <c r="B32" i="6"/>
  <c r="N23" i="18"/>
  <c r="B38" i="18"/>
  <c r="B37" i="18"/>
  <c r="B62" i="20"/>
  <c r="A59" i="33"/>
  <c r="G62" i="17"/>
  <c r="B31" i="14"/>
  <c r="B32" i="45"/>
  <c r="C22" i="10"/>
  <c r="C57" i="30"/>
  <c r="F57" i="30"/>
  <c r="E57" i="30"/>
  <c r="D37" i="34"/>
  <c r="D35" i="33"/>
  <c r="D36" i="33"/>
  <c r="D39" i="32"/>
  <c r="D15" i="45"/>
  <c r="D14" i="44" s="1"/>
  <c r="D16" i="45"/>
  <c r="D15" i="43" s="1"/>
  <c r="D41" i="34"/>
  <c r="D42" i="32"/>
  <c r="D43" i="34"/>
  <c r="D44" i="34"/>
  <c r="D20" i="45"/>
  <c r="D19" i="42" s="1"/>
  <c r="D45" i="33"/>
  <c r="D46" i="34"/>
  <c r="E46" i="34" s="1"/>
  <c r="D47" i="32"/>
  <c r="D48" i="34"/>
  <c r="D23" i="45"/>
  <c r="D22" i="43" s="1"/>
  <c r="B48" i="48"/>
  <c r="A21" i="18"/>
  <c r="A20" i="18" s="1"/>
  <c r="A19" i="18" s="1"/>
  <c r="A18" i="18" s="1"/>
  <c r="N18" i="18" s="1"/>
  <c r="N22" i="18"/>
  <c r="A53" i="21"/>
  <c r="N53" i="21" s="1"/>
  <c r="N54" i="21"/>
  <c r="N55" i="21"/>
  <c r="A52" i="19"/>
  <c r="N52" i="19" s="1"/>
  <c r="N53" i="20"/>
  <c r="N21" i="18"/>
  <c r="A50" i="20"/>
  <c r="A49" i="20" s="1"/>
  <c r="A48" i="20" s="1"/>
  <c r="N20" i="18"/>
  <c r="N19" i="18"/>
  <c r="A17" i="18"/>
  <c r="A16" i="18" s="1"/>
  <c r="N16" i="18" s="1"/>
  <c r="G36" i="46"/>
  <c r="G44" i="46"/>
  <c r="A50" i="40"/>
  <c r="B36" i="28" s="1"/>
  <c r="C50" i="40"/>
  <c r="L22" i="43"/>
  <c r="A23" i="43" s="1"/>
  <c r="A22" i="43" s="1"/>
  <c r="A21" i="43" s="1"/>
  <c r="A20" i="43" s="1"/>
  <c r="A19" i="43" s="1"/>
  <c r="A18" i="43" s="1"/>
  <c r="A17" i="43" s="1"/>
  <c r="A16" i="43" s="1"/>
  <c r="A15" i="43" s="1"/>
  <c r="A14" i="43" s="1"/>
  <c r="C24" i="26"/>
  <c r="C51" i="25"/>
  <c r="E51" i="25"/>
  <c r="G51" i="25"/>
  <c r="D52" i="22" s="1"/>
  <c r="C18" i="10"/>
  <c r="D30" i="34"/>
  <c r="E30" i="34" s="1"/>
  <c r="E15" i="12"/>
  <c r="L10" i="58"/>
  <c r="E15" i="13"/>
  <c r="N48" i="20" l="1"/>
  <c r="A47" i="20"/>
  <c r="A52" i="21"/>
  <c r="N49" i="20"/>
  <c r="N50" i="20"/>
  <c r="N52" i="20"/>
  <c r="B24" i="2"/>
  <c r="B35" i="4"/>
  <c r="A15" i="18"/>
  <c r="B57" i="23"/>
  <c r="B33" i="6"/>
  <c r="N17" i="18"/>
  <c r="A51" i="19"/>
  <c r="B32" i="8"/>
  <c r="B32" i="10"/>
  <c r="E17" i="28"/>
  <c r="B35" i="5"/>
  <c r="B74" i="29"/>
  <c r="P14" i="31"/>
  <c r="B30" i="9"/>
  <c r="P26" i="31"/>
  <c r="P19" i="31"/>
  <c r="P27" i="31"/>
  <c r="B40" i="35"/>
  <c r="B38" i="38"/>
  <c r="E47" i="32"/>
  <c r="G47" i="32" s="1"/>
  <c r="D47" i="30" s="1"/>
  <c r="D60" i="22"/>
  <c r="C60" i="22"/>
  <c r="M22" i="10"/>
  <c r="B30" i="10" s="1"/>
  <c r="L11" i="4"/>
  <c r="A11" i="4" s="1"/>
  <c r="D14" i="43"/>
  <c r="E14" i="43" s="1"/>
  <c r="G14" i="5" s="1"/>
  <c r="C23" i="9"/>
  <c r="D44" i="33"/>
  <c r="E44" i="33" s="1"/>
  <c r="E22" i="22"/>
  <c r="D14" i="41"/>
  <c r="E14" i="41" s="1"/>
  <c r="D14" i="42"/>
  <c r="L22" i="14"/>
  <c r="B30" i="14" s="1"/>
  <c r="A23" i="11"/>
  <c r="A22" i="11" s="1"/>
  <c r="A21" i="11" s="1"/>
  <c r="A20" i="11" s="1"/>
  <c r="A19" i="11" s="1"/>
  <c r="A18" i="11" s="1"/>
  <c r="A17" i="11" s="1"/>
  <c r="A16" i="11" s="1"/>
  <c r="A15" i="11" s="1"/>
  <c r="A14" i="11" s="1"/>
  <c r="E39" i="32"/>
  <c r="D36" i="60"/>
  <c r="L22" i="10"/>
  <c r="A23" i="10" s="1"/>
  <c r="A22" i="10" s="1"/>
  <c r="A21" i="10" s="1"/>
  <c r="A20" i="10" s="1"/>
  <c r="A19" i="10" s="1"/>
  <c r="L22" i="42"/>
  <c r="A23" i="42" s="1"/>
  <c r="A22" i="42" s="1"/>
  <c r="A21" i="42" s="1"/>
  <c r="A20" i="42" s="1"/>
  <c r="A19" i="42" s="1"/>
  <c r="A18" i="42" s="1"/>
  <c r="A17" i="42" s="1"/>
  <c r="A16" i="42" s="1"/>
  <c r="A15" i="42" s="1"/>
  <c r="A14" i="42" s="1"/>
  <c r="D43" i="32"/>
  <c r="F46" i="17"/>
  <c r="G46" i="17" s="1"/>
  <c r="L8" i="3"/>
  <c r="L22" i="9"/>
  <c r="A23" i="9" s="1"/>
  <c r="A22" i="9" s="1"/>
  <c r="A21" i="9" s="1"/>
  <c r="A20" i="9" s="1"/>
  <c r="E48" i="22"/>
  <c r="H48" i="24"/>
  <c r="G48" i="24" s="1"/>
  <c r="F48" i="24" s="1"/>
  <c r="E48" i="24" s="1"/>
  <c r="D48" i="24" s="1"/>
  <c r="C48" i="24" s="1"/>
  <c r="E38" i="22"/>
  <c r="D32" i="26"/>
  <c r="H32" i="26"/>
  <c r="E33" i="26"/>
  <c r="F34" i="26"/>
  <c r="C35" i="26"/>
  <c r="G35" i="26"/>
  <c r="D36" i="26"/>
  <c r="C41" i="26"/>
  <c r="E45" i="22"/>
  <c r="E49" i="22"/>
  <c r="C34" i="24"/>
  <c r="F36" i="24"/>
  <c r="E16" i="22"/>
  <c r="E32" i="26"/>
  <c r="F33" i="26"/>
  <c r="C34" i="26"/>
  <c r="H35" i="26"/>
  <c r="E36" i="26"/>
  <c r="C40" i="26"/>
  <c r="E25" i="22"/>
  <c r="E41" i="22"/>
  <c r="G38" i="17"/>
  <c r="C61" i="17"/>
  <c r="O50" i="17"/>
  <c r="A50" i="17"/>
  <c r="N49" i="17"/>
  <c r="F33" i="16"/>
  <c r="F31" i="17"/>
  <c r="E19" i="17"/>
  <c r="F19" i="17" s="1"/>
  <c r="D32" i="33"/>
  <c r="E32" i="33" s="1"/>
  <c r="E20" i="14"/>
  <c r="E35" i="31"/>
  <c r="G35" i="31" s="1"/>
  <c r="C35" i="30" s="1"/>
  <c r="G46" i="34"/>
  <c r="F46" i="30" s="1"/>
  <c r="A16" i="30"/>
  <c r="D36" i="16"/>
  <c r="E16" i="12"/>
  <c r="E16" i="11"/>
  <c r="F31" i="60"/>
  <c r="J31" i="60"/>
  <c r="H33" i="60"/>
  <c r="H34" i="60"/>
  <c r="E35" i="60"/>
  <c r="C39" i="60"/>
  <c r="F18" i="17"/>
  <c r="E17" i="18"/>
  <c r="E16" i="14"/>
  <c r="E49" i="31"/>
  <c r="G49" i="31" s="1"/>
  <c r="C49" i="30" s="1"/>
  <c r="C16" i="8"/>
  <c r="E19" i="42"/>
  <c r="G19" i="4" s="1"/>
  <c r="E43" i="34"/>
  <c r="E14" i="42"/>
  <c r="G14" i="4" s="1"/>
  <c r="G30" i="34"/>
  <c r="F30" i="30" s="1"/>
  <c r="F16" i="17"/>
  <c r="D26" i="13"/>
  <c r="F52" i="31"/>
  <c r="E22" i="43"/>
  <c r="G22" i="5" s="1"/>
  <c r="E44" i="34"/>
  <c r="E14" i="44"/>
  <c r="G14" i="6" s="1"/>
  <c r="I31" i="16"/>
  <c r="E51" i="17"/>
  <c r="E52" i="17" s="1"/>
  <c r="F52" i="17" s="1"/>
  <c r="G52" i="17" s="1"/>
  <c r="F50" i="17"/>
  <c r="G50" i="17" s="1"/>
  <c r="E23" i="18"/>
  <c r="E20" i="18"/>
  <c r="F14" i="17"/>
  <c r="E44" i="22"/>
  <c r="C38" i="24"/>
  <c r="E34" i="26"/>
  <c r="C36" i="26"/>
  <c r="E39" i="26"/>
  <c r="E52" i="22"/>
  <c r="E19" i="18"/>
  <c r="E47" i="31"/>
  <c r="G47" i="31" s="1"/>
  <c r="C47" i="30" s="1"/>
  <c r="A21" i="26"/>
  <c r="A39" i="26" s="1"/>
  <c r="C16" i="7"/>
  <c r="L53" i="33"/>
  <c r="M43" i="28"/>
  <c r="B46" i="28" s="1"/>
  <c r="A59" i="31"/>
  <c r="E18" i="22"/>
  <c r="E26" i="22"/>
  <c r="E19" i="46"/>
  <c r="D23" i="46"/>
  <c r="D31" i="46"/>
  <c r="D32" i="46" s="1"/>
  <c r="E23" i="46"/>
  <c r="H32" i="16"/>
  <c r="C33" i="16"/>
  <c r="G33" i="16"/>
  <c r="D35" i="16"/>
  <c r="N11" i="16"/>
  <c r="C11" i="16" s="1"/>
  <c r="D11" i="16" s="1"/>
  <c r="E11" i="16" s="1"/>
  <c r="F11" i="16" s="1"/>
  <c r="G11" i="16" s="1"/>
  <c r="F28" i="16" s="1"/>
  <c r="D31" i="38"/>
  <c r="F21" i="38"/>
  <c r="D21" i="37" s="1"/>
  <c r="E21" i="37" s="1"/>
  <c r="F23" i="38"/>
  <c r="D23" i="37" s="1"/>
  <c r="E23" i="37" s="1"/>
  <c r="F25" i="38"/>
  <c r="D25" i="37" s="1"/>
  <c r="E25" i="37" s="1"/>
  <c r="F27" i="38"/>
  <c r="D27" i="37" s="1"/>
  <c r="H32" i="24"/>
  <c r="E16" i="48"/>
  <c r="G16" i="48" s="1"/>
  <c r="D47" i="34"/>
  <c r="E31" i="24"/>
  <c r="C33" i="24"/>
  <c r="G33" i="24"/>
  <c r="H34" i="24"/>
  <c r="E35" i="24"/>
  <c r="D42" i="34"/>
  <c r="D15" i="18"/>
  <c r="D19" i="18"/>
  <c r="F31" i="24"/>
  <c r="D31" i="36"/>
  <c r="F32" i="17"/>
  <c r="E21" i="14"/>
  <c r="E17" i="14"/>
  <c r="E15" i="48"/>
  <c r="G15" i="48" s="1"/>
  <c r="E19" i="48"/>
  <c r="G19" i="48" s="1"/>
  <c r="F28" i="17"/>
  <c r="F37" i="17"/>
  <c r="F33" i="17"/>
  <c r="C32" i="60"/>
  <c r="G32" i="60"/>
  <c r="F33" i="60"/>
  <c r="F34" i="60"/>
  <c r="E36" i="60"/>
  <c r="F17" i="36"/>
  <c r="D17" i="35" s="1"/>
  <c r="E17" i="35" s="1"/>
  <c r="F27" i="36"/>
  <c r="D27" i="35" s="1"/>
  <c r="E27" i="35" s="1"/>
  <c r="C32" i="24"/>
  <c r="D33" i="24"/>
  <c r="E31" i="46"/>
  <c r="E32" i="46" s="1"/>
  <c r="D42" i="33"/>
  <c r="E42" i="33" s="1"/>
  <c r="D45" i="32"/>
  <c r="E45" i="32" s="1"/>
  <c r="G45" i="32" s="1"/>
  <c r="D45" i="30" s="1"/>
  <c r="C19" i="18"/>
  <c r="C32" i="16"/>
  <c r="G32" i="16"/>
  <c r="C35" i="16"/>
  <c r="H31" i="24"/>
  <c r="F33" i="24"/>
  <c r="F31" i="46"/>
  <c r="F32" i="46" s="1"/>
  <c r="C26" i="13"/>
  <c r="C26" i="41"/>
  <c r="F51" i="34"/>
  <c r="C51" i="32"/>
  <c r="F41" i="17"/>
  <c r="F29" i="17"/>
  <c r="F25" i="17"/>
  <c r="D35" i="34"/>
  <c r="E35" i="34" s="1"/>
  <c r="G35" i="34" s="1"/>
  <c r="F35" i="30" s="1"/>
  <c r="E39" i="31"/>
  <c r="D35" i="32"/>
  <c r="E35" i="32" s="1"/>
  <c r="G35" i="32" s="1"/>
  <c r="D35" i="30" s="1"/>
  <c r="C11" i="38"/>
  <c r="E23" i="12"/>
  <c r="D15" i="41"/>
  <c r="E41" i="31"/>
  <c r="G41" i="31" s="1"/>
  <c r="C41" i="30" s="1"/>
  <c r="D41" i="33"/>
  <c r="E41" i="33" s="1"/>
  <c r="G41" i="33" s="1"/>
  <c r="E41" i="30" s="1"/>
  <c r="L11" i="6"/>
  <c r="A23" i="6" s="1"/>
  <c r="A22" i="6" s="1"/>
  <c r="A21" i="6" s="1"/>
  <c r="A20" i="6" s="1"/>
  <c r="A19" i="6" s="1"/>
  <c r="A18" i="6" s="1"/>
  <c r="A17" i="6" s="1"/>
  <c r="A16" i="6" s="1"/>
  <c r="A15" i="6" s="1"/>
  <c r="A14" i="6" s="1"/>
  <c r="D23" i="18"/>
  <c r="E36" i="33"/>
  <c r="L22" i="7"/>
  <c r="A23" i="7" s="1"/>
  <c r="A22" i="7" s="1"/>
  <c r="A21" i="7" s="1"/>
  <c r="A20" i="7" s="1"/>
  <c r="E42" i="34"/>
  <c r="G42" i="34" s="1"/>
  <c r="F42" i="30" s="1"/>
  <c r="E23" i="11"/>
  <c r="E19" i="13"/>
  <c r="D32" i="34"/>
  <c r="E32" i="34" s="1"/>
  <c r="G32" i="34" s="1"/>
  <c r="F32" i="30" s="1"/>
  <c r="D33" i="31"/>
  <c r="E48" i="34"/>
  <c r="G48" i="34" s="1"/>
  <c r="F48" i="30" s="1"/>
  <c r="C34" i="16"/>
  <c r="G34" i="16"/>
  <c r="F36" i="16"/>
  <c r="E37" i="16"/>
  <c r="F25" i="36"/>
  <c r="D25" i="35" s="1"/>
  <c r="F17" i="38"/>
  <c r="D17" i="37" s="1"/>
  <c r="E17" i="37" s="1"/>
  <c r="A23" i="41"/>
  <c r="A22" i="41" s="1"/>
  <c r="A21" i="41" s="1"/>
  <c r="A20" i="41" s="1"/>
  <c r="A19" i="41" s="1"/>
  <c r="A18" i="41" s="1"/>
  <c r="A17" i="41" s="1"/>
  <c r="A16" i="41" s="1"/>
  <c r="A15" i="41" s="1"/>
  <c r="A14" i="41" s="1"/>
  <c r="E22" i="14"/>
  <c r="E44" i="17"/>
  <c r="F44" i="17" s="1"/>
  <c r="F43" i="17"/>
  <c r="C16" i="9"/>
  <c r="D21" i="18"/>
  <c r="F22" i="38"/>
  <c r="D22" i="37" s="1"/>
  <c r="E22" i="37" s="1"/>
  <c r="F17" i="17"/>
  <c r="F20" i="36"/>
  <c r="D20" i="35" s="1"/>
  <c r="E20" i="35" s="1"/>
  <c r="F27" i="17"/>
  <c r="C26" i="12"/>
  <c r="E43" i="31"/>
  <c r="G43" i="31" s="1"/>
  <c r="C43" i="30" s="1"/>
  <c r="E18" i="13"/>
  <c r="F26" i="36"/>
  <c r="D26" i="35" s="1"/>
  <c r="E26" i="35" s="1"/>
  <c r="D14" i="18"/>
  <c r="D22" i="18"/>
  <c r="D37" i="32"/>
  <c r="E37" i="32" s="1"/>
  <c r="G37" i="32" s="1"/>
  <c r="D37" i="30" s="1"/>
  <c r="F20" i="38"/>
  <c r="D20" i="37" s="1"/>
  <c r="E20" i="37" s="1"/>
  <c r="M22" i="7"/>
  <c r="B30" i="7" s="1"/>
  <c r="L53" i="34"/>
  <c r="F22" i="36"/>
  <c r="D22" i="35" s="1"/>
  <c r="E22" i="35" s="1"/>
  <c r="C16" i="18"/>
  <c r="E20" i="12"/>
  <c r="F34" i="16"/>
  <c r="G35" i="16"/>
  <c r="D37" i="16"/>
  <c r="F28" i="38"/>
  <c r="D28" i="37" s="1"/>
  <c r="E28" i="37" s="1"/>
  <c r="D17" i="18"/>
  <c r="A23" i="14"/>
  <c r="A22" i="14" s="1"/>
  <c r="A21" i="14" s="1"/>
  <c r="A20" i="14" s="1"/>
  <c r="A19" i="14" s="1"/>
  <c r="A18" i="14" s="1"/>
  <c r="A17" i="14" s="1"/>
  <c r="A16" i="14" s="1"/>
  <c r="A15" i="14" s="1"/>
  <c r="A14" i="14" s="1"/>
  <c r="E22" i="11"/>
  <c r="M22" i="12"/>
  <c r="A4" i="12" s="1"/>
  <c r="A20" i="61" s="1"/>
  <c r="C18" i="18"/>
  <c r="F16" i="36"/>
  <c r="D16" i="35" s="1"/>
  <c r="E16" i="35" s="1"/>
  <c r="C20" i="18"/>
  <c r="D37" i="33"/>
  <c r="E37" i="33" s="1"/>
  <c r="G37" i="33" s="1"/>
  <c r="E37" i="30" s="1"/>
  <c r="M22" i="14"/>
  <c r="A4" i="14" s="1"/>
  <c r="A22" i="61" s="1"/>
  <c r="L53" i="32"/>
  <c r="F18" i="36"/>
  <c r="D18" i="35" s="1"/>
  <c r="C14" i="18"/>
  <c r="F24" i="36"/>
  <c r="D24" i="35" s="1"/>
  <c r="E24" i="35" s="1"/>
  <c r="E42" i="32"/>
  <c r="G42" i="32" s="1"/>
  <c r="D42" i="30" s="1"/>
  <c r="C15" i="18"/>
  <c r="E16" i="13"/>
  <c r="D43" i="33"/>
  <c r="E43" i="33" s="1"/>
  <c r="G43" i="33" s="1"/>
  <c r="E43" i="30" s="1"/>
  <c r="D18" i="18"/>
  <c r="D20" i="18"/>
  <c r="G36" i="33"/>
  <c r="E36" i="30" s="1"/>
  <c r="C22" i="18"/>
  <c r="M22" i="13"/>
  <c r="A4" i="13" s="1"/>
  <c r="A21" i="61" s="1"/>
  <c r="A4" i="11"/>
  <c r="A19" i="61" s="1"/>
  <c r="C17" i="18"/>
  <c r="M22" i="8"/>
  <c r="B30" i="8" s="1"/>
  <c r="C23" i="18"/>
  <c r="F23" i="18" s="1"/>
  <c r="D39" i="15" s="1"/>
  <c r="C31" i="16"/>
  <c r="F32" i="16"/>
  <c r="E34" i="16"/>
  <c r="C37" i="16"/>
  <c r="C38" i="16"/>
  <c r="E39" i="17"/>
  <c r="F39" i="17" s="1"/>
  <c r="E48" i="31"/>
  <c r="G48" i="31" s="1"/>
  <c r="C48" i="30" s="1"/>
  <c r="C67" i="29"/>
  <c r="D15" i="44"/>
  <c r="E15" i="44" s="1"/>
  <c r="G15" i="6" s="1"/>
  <c r="J31" i="16"/>
  <c r="D33" i="16"/>
  <c r="C39" i="16"/>
  <c r="F15" i="36"/>
  <c r="D15" i="35" s="1"/>
  <c r="E15" i="35" s="1"/>
  <c r="F19" i="36"/>
  <c r="D19" i="35" s="1"/>
  <c r="E19" i="35" s="1"/>
  <c r="C26" i="11"/>
  <c r="C26" i="44"/>
  <c r="O23" i="44"/>
  <c r="C26" i="43"/>
  <c r="D32" i="60"/>
  <c r="H32" i="60"/>
  <c r="C33" i="60"/>
  <c r="C34" i="60"/>
  <c r="D47" i="33"/>
  <c r="E47" i="33" s="1"/>
  <c r="G47" i="33" s="1"/>
  <c r="E47" i="30" s="1"/>
  <c r="D22" i="45"/>
  <c r="D21" i="42" s="1"/>
  <c r="E21" i="42" s="1"/>
  <c r="G21" i="4" s="1"/>
  <c r="E32" i="32"/>
  <c r="G32" i="32" s="1"/>
  <c r="D32" i="30" s="1"/>
  <c r="E46" i="22"/>
  <c r="E50" i="22"/>
  <c r="F42" i="17"/>
  <c r="F34" i="17"/>
  <c r="E22" i="13"/>
  <c r="E20" i="13"/>
  <c r="E22" i="12"/>
  <c r="D39" i="34"/>
  <c r="D39" i="33"/>
  <c r="E39" i="33" s="1"/>
  <c r="G39" i="33" s="1"/>
  <c r="E39" i="30" s="1"/>
  <c r="A61" i="31"/>
  <c r="D33" i="33"/>
  <c r="E33" i="33" s="1"/>
  <c r="G33" i="33" s="1"/>
  <c r="E33" i="30" s="1"/>
  <c r="D33" i="32"/>
  <c r="D30" i="33"/>
  <c r="E30" i="33" s="1"/>
  <c r="G30" i="33" s="1"/>
  <c r="E30" i="30" s="1"/>
  <c r="D30" i="32"/>
  <c r="E30" i="32" s="1"/>
  <c r="G30" i="32" s="1"/>
  <c r="D30" i="30" s="1"/>
  <c r="E49" i="34"/>
  <c r="G49" i="34" s="1"/>
  <c r="F49" i="30" s="1"/>
  <c r="E32" i="31"/>
  <c r="G32" i="31" s="1"/>
  <c r="C32" i="30" s="1"/>
  <c r="K14" i="31"/>
  <c r="P28" i="31"/>
  <c r="P16" i="31"/>
  <c r="D31" i="31" s="1"/>
  <c r="P24" i="31"/>
  <c r="P20" i="31"/>
  <c r="E30" i="31"/>
  <c r="G30" i="31" s="1"/>
  <c r="C30" i="30" s="1"/>
  <c r="E33" i="32"/>
  <c r="G33" i="32" s="1"/>
  <c r="D33" i="30" s="1"/>
  <c r="C19" i="7"/>
  <c r="E19" i="11"/>
  <c r="C26" i="42"/>
  <c r="D34" i="33"/>
  <c r="E34" i="33" s="1"/>
  <c r="G34" i="33" s="1"/>
  <c r="E34" i="30" s="1"/>
  <c r="D34" i="32"/>
  <c r="B51" i="60"/>
  <c r="A23" i="60"/>
  <c r="A22" i="60" s="1"/>
  <c r="E15" i="43"/>
  <c r="G15" i="5" s="1"/>
  <c r="F35" i="17"/>
  <c r="E36" i="17"/>
  <c r="F36" i="17" s="1"/>
  <c r="F30" i="17"/>
  <c r="C14" i="10"/>
  <c r="E14" i="10" s="1"/>
  <c r="C14" i="6" s="1"/>
  <c r="E14" i="14"/>
  <c r="C26" i="14"/>
  <c r="E18" i="14"/>
  <c r="D26" i="14"/>
  <c r="E14" i="12"/>
  <c r="C14" i="8"/>
  <c r="E14" i="8" s="1"/>
  <c r="C14" i="4" s="1"/>
  <c r="D26" i="12"/>
  <c r="E15" i="41"/>
  <c r="G15" i="3" s="1"/>
  <c r="C15" i="7"/>
  <c r="B45" i="28"/>
  <c r="L14" i="58"/>
  <c r="J20" i="58" s="1"/>
  <c r="B39" i="58"/>
  <c r="B40" i="58"/>
  <c r="C15" i="37"/>
  <c r="F15" i="38"/>
  <c r="D15" i="37" s="1"/>
  <c r="F19" i="38"/>
  <c r="D19" i="37" s="1"/>
  <c r="C19" i="37"/>
  <c r="E17" i="22"/>
  <c r="E21" i="22"/>
  <c r="D33" i="60"/>
  <c r="E45" i="33"/>
  <c r="G45" i="33" s="1"/>
  <c r="E45" i="30" s="1"/>
  <c r="D38" i="33"/>
  <c r="E38" i="33" s="1"/>
  <c r="G38" i="33" s="1"/>
  <c r="E38" i="30" s="1"/>
  <c r="D38" i="32"/>
  <c r="E38" i="32" s="1"/>
  <c r="G38" i="32" s="1"/>
  <c r="D38" i="30" s="1"/>
  <c r="E38" i="31"/>
  <c r="G38" i="31" s="1"/>
  <c r="C38" i="30" s="1"/>
  <c r="D38" i="34"/>
  <c r="E38" i="34" s="1"/>
  <c r="G38" i="34" s="1"/>
  <c r="F38" i="30" s="1"/>
  <c r="D19" i="45"/>
  <c r="L50" i="30"/>
  <c r="L47" i="29"/>
  <c r="B75" i="29" s="1"/>
  <c r="K53" i="34"/>
  <c r="K53" i="33"/>
  <c r="A56" i="31"/>
  <c r="K53" i="32"/>
  <c r="G32" i="33"/>
  <c r="E32" i="30" s="1"/>
  <c r="G44" i="33"/>
  <c r="E44" i="30" s="1"/>
  <c r="D18" i="45"/>
  <c r="D17" i="43" s="1"/>
  <c r="E17" i="43" s="1"/>
  <c r="G17" i="5" s="1"/>
  <c r="F21" i="36"/>
  <c r="D21" i="35" s="1"/>
  <c r="E21" i="35" s="1"/>
  <c r="F23" i="36"/>
  <c r="D23" i="35" s="1"/>
  <c r="E23" i="35" s="1"/>
  <c r="D38" i="24"/>
  <c r="E30" i="22"/>
  <c r="F45" i="17"/>
  <c r="N11" i="60"/>
  <c r="C11" i="60" s="1"/>
  <c r="D11" i="60" s="1"/>
  <c r="E11" i="60" s="1"/>
  <c r="C31" i="60"/>
  <c r="G31" i="60"/>
  <c r="J32" i="60"/>
  <c r="I33" i="60"/>
  <c r="E34" i="60"/>
  <c r="C38" i="60"/>
  <c r="G43" i="34"/>
  <c r="F43" i="30" s="1"/>
  <c r="E41" i="34"/>
  <c r="G41" i="34" s="1"/>
  <c r="F41" i="30" s="1"/>
  <c r="F16" i="38"/>
  <c r="D16" i="37" s="1"/>
  <c r="E16" i="37" s="1"/>
  <c r="F18" i="38"/>
  <c r="D18" i="37" s="1"/>
  <c r="E18" i="37" s="1"/>
  <c r="E17" i="12"/>
  <c r="E21" i="11"/>
  <c r="E34" i="31"/>
  <c r="G34" i="31" s="1"/>
  <c r="C34" i="30" s="1"/>
  <c r="F51" i="32"/>
  <c r="E35" i="33"/>
  <c r="G35" i="33" s="1"/>
  <c r="E35" i="30" s="1"/>
  <c r="G34" i="60"/>
  <c r="E37" i="34"/>
  <c r="G37" i="34" s="1"/>
  <c r="F37" i="30" s="1"/>
  <c r="C36" i="16"/>
  <c r="E20" i="22"/>
  <c r="E28" i="22"/>
  <c r="E32" i="22"/>
  <c r="E36" i="22"/>
  <c r="E42" i="22"/>
  <c r="F41" i="48"/>
  <c r="E17" i="48"/>
  <c r="G17" i="48" s="1"/>
  <c r="E14" i="22"/>
  <c r="E17" i="11"/>
  <c r="E15" i="11"/>
  <c r="N46" i="31"/>
  <c r="D11" i="24"/>
  <c r="C28" i="24" s="1"/>
  <c r="A20" i="26"/>
  <c r="A38" i="26" s="1"/>
  <c r="C29" i="26"/>
  <c r="F35" i="24"/>
  <c r="F44" i="24" s="1"/>
  <c r="F23" i="46"/>
  <c r="F19" i="46"/>
  <c r="H33" i="24"/>
  <c r="H44" i="24" s="1"/>
  <c r="E23" i="22"/>
  <c r="E39" i="22"/>
  <c r="H34" i="26"/>
  <c r="G35" i="24"/>
  <c r="E36" i="24"/>
  <c r="D37" i="24"/>
  <c r="A41" i="26"/>
  <c r="E27" i="22"/>
  <c r="E31" i="22"/>
  <c r="E47" i="22"/>
  <c r="D34" i="26"/>
  <c r="G37" i="26"/>
  <c r="D51" i="40"/>
  <c r="G51" i="40" s="1"/>
  <c r="E37" i="28" s="1"/>
  <c r="E39" i="28" s="1"/>
  <c r="F36" i="46"/>
  <c r="D29" i="26"/>
  <c r="E33" i="24"/>
  <c r="E29" i="22"/>
  <c r="E33" i="22"/>
  <c r="E37" i="22"/>
  <c r="E14" i="48"/>
  <c r="G14" i="48" s="1"/>
  <c r="E18" i="48"/>
  <c r="G18" i="48" s="1"/>
  <c r="E22" i="48"/>
  <c r="J33" i="58"/>
  <c r="E29" i="26"/>
  <c r="G11" i="26"/>
  <c r="F29" i="26" s="1"/>
  <c r="D33" i="26"/>
  <c r="C33" i="26"/>
  <c r="G33" i="26"/>
  <c r="H33" i="26"/>
  <c r="D50" i="40"/>
  <c r="G50" i="40" s="1"/>
  <c r="E36" i="28" s="1"/>
  <c r="F36" i="28" s="1"/>
  <c r="D56" i="22"/>
  <c r="F31" i="16"/>
  <c r="G31" i="16"/>
  <c r="H33" i="16"/>
  <c r="I33" i="16"/>
  <c r="D31" i="24"/>
  <c r="C31" i="24"/>
  <c r="E32" i="24"/>
  <c r="D32" i="24"/>
  <c r="G34" i="24"/>
  <c r="G44" i="24" s="1"/>
  <c r="F34" i="24"/>
  <c r="D35" i="24"/>
  <c r="C35" i="24"/>
  <c r="A21" i="24"/>
  <c r="A39" i="24"/>
  <c r="D54" i="22"/>
  <c r="E15" i="22"/>
  <c r="F51" i="33"/>
  <c r="G35" i="60"/>
  <c r="F35" i="60"/>
  <c r="D37" i="60"/>
  <c r="C37" i="60"/>
  <c r="C11" i="35"/>
  <c r="M11" i="37"/>
  <c r="C11" i="37" s="1"/>
  <c r="E43" i="22"/>
  <c r="E20" i="17"/>
  <c r="F20" i="17" s="1"/>
  <c r="D40" i="33"/>
  <c r="E40" i="33" s="1"/>
  <c r="G40" i="33" s="1"/>
  <c r="E40" i="30" s="1"/>
  <c r="E40" i="31"/>
  <c r="G40" i="31" s="1"/>
  <c r="C40" i="30" s="1"/>
  <c r="D40" i="34"/>
  <c r="E40" i="34" s="1"/>
  <c r="D40" i="32"/>
  <c r="E40" i="32" s="1"/>
  <c r="G40" i="32" s="1"/>
  <c r="D40" i="30" s="1"/>
  <c r="E36" i="31"/>
  <c r="G36" i="31" s="1"/>
  <c r="C36" i="30" s="1"/>
  <c r="D36" i="34"/>
  <c r="E36" i="34" s="1"/>
  <c r="G36" i="34" s="1"/>
  <c r="F36" i="30" s="1"/>
  <c r="D36" i="32"/>
  <c r="E36" i="32" s="1"/>
  <c r="G36" i="32" s="1"/>
  <c r="D36" i="30" s="1"/>
  <c r="D14" i="45"/>
  <c r="C26" i="45"/>
  <c r="E22" i="18"/>
  <c r="F22" i="18" s="1"/>
  <c r="D38" i="15" s="1"/>
  <c r="E21" i="18"/>
  <c r="E14" i="18"/>
  <c r="E15" i="18"/>
  <c r="E16" i="18"/>
  <c r="F16" i="18" s="1"/>
  <c r="D32" i="15" s="1"/>
  <c r="E42" i="31"/>
  <c r="G42" i="31" s="1"/>
  <c r="C42" i="30" s="1"/>
  <c r="G42" i="33"/>
  <c r="E42" i="30" s="1"/>
  <c r="E44" i="31"/>
  <c r="G44" i="31" s="1"/>
  <c r="C44" i="30" s="1"/>
  <c r="D44" i="32"/>
  <c r="E44" i="32" s="1"/>
  <c r="G44" i="32" s="1"/>
  <c r="D44" i="30" s="1"/>
  <c r="G32" i="26"/>
  <c r="F32" i="26"/>
  <c r="F35" i="26"/>
  <c r="E35" i="26"/>
  <c r="G36" i="26"/>
  <c r="F36" i="26"/>
  <c r="C37" i="26"/>
  <c r="D37" i="26"/>
  <c r="E38" i="26"/>
  <c r="F38" i="26"/>
  <c r="B32" i="58"/>
  <c r="B38" i="58"/>
  <c r="D15" i="42"/>
  <c r="E15" i="42" s="1"/>
  <c r="G15" i="4" s="1"/>
  <c r="B10" i="58"/>
  <c r="C31" i="38"/>
  <c r="F31" i="38" s="1"/>
  <c r="E31" i="60"/>
  <c r="D31" i="60"/>
  <c r="H31" i="60"/>
  <c r="C35" i="60"/>
  <c r="D38" i="60"/>
  <c r="A23" i="4"/>
  <c r="A22" i="4" s="1"/>
  <c r="A21" i="4" s="1"/>
  <c r="A20" i="4" s="1"/>
  <c r="A19" i="4" s="1"/>
  <c r="A18" i="4" s="1"/>
  <c r="A17" i="4" s="1"/>
  <c r="A16" i="4" s="1"/>
  <c r="A15" i="4" s="1"/>
  <c r="A14" i="4" s="1"/>
  <c r="F28" i="36"/>
  <c r="D28" i="35" s="1"/>
  <c r="E28" i="35" s="1"/>
  <c r="E47" i="17"/>
  <c r="C52" i="31"/>
  <c r="D35" i="60"/>
  <c r="F14" i="36"/>
  <c r="D14" i="35" s="1"/>
  <c r="E14" i="35" s="1"/>
  <c r="C25" i="35"/>
  <c r="C31" i="35" s="1"/>
  <c r="F26" i="17"/>
  <c r="C21" i="9"/>
  <c r="E21" i="13"/>
  <c r="C51" i="34"/>
  <c r="D49" i="33"/>
  <c r="E49" i="33" s="1"/>
  <c r="D49" i="32"/>
  <c r="E49" i="32" s="1"/>
  <c r="G49" i="32" s="1"/>
  <c r="D49" i="30" s="1"/>
  <c r="E34" i="34"/>
  <c r="G34" i="34" s="1"/>
  <c r="F34" i="30" s="1"/>
  <c r="B30" i="11"/>
  <c r="L22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L22" i="13"/>
  <c r="L22" i="8"/>
  <c r="A23" i="8" s="1"/>
  <c r="A22" i="8" s="1"/>
  <c r="A21" i="8" s="1"/>
  <c r="A20" i="8" s="1"/>
  <c r="I32" i="16"/>
  <c r="G31" i="24"/>
  <c r="E23" i="14"/>
  <c r="C23" i="10"/>
  <c r="C15" i="10"/>
  <c r="E15" i="14"/>
  <c r="E14" i="13"/>
  <c r="E39" i="34"/>
  <c r="G39" i="34" s="1"/>
  <c r="F39" i="30" s="1"/>
  <c r="D21" i="45"/>
  <c r="D20" i="42" s="1"/>
  <c r="E20" i="42" s="1"/>
  <c r="G20" i="4" s="1"/>
  <c r="J32" i="16"/>
  <c r="E33" i="16"/>
  <c r="H34" i="16"/>
  <c r="E37" i="24"/>
  <c r="C32" i="26"/>
  <c r="D36" i="46"/>
  <c r="F15" i="17"/>
  <c r="E18" i="12"/>
  <c r="I32" i="60"/>
  <c r="G33" i="60"/>
  <c r="D34" i="60"/>
  <c r="E47" i="34"/>
  <c r="G47" i="34" s="1"/>
  <c r="F47" i="30" s="1"/>
  <c r="G48" i="46"/>
  <c r="G19" i="1" s="1"/>
  <c r="D31" i="16"/>
  <c r="H31" i="16"/>
  <c r="F32" i="24"/>
  <c r="D34" i="24"/>
  <c r="C36" i="24"/>
  <c r="C37" i="24"/>
  <c r="G34" i="26"/>
  <c r="H36" i="26"/>
  <c r="F37" i="26"/>
  <c r="H50" i="26"/>
  <c r="G50" i="26" s="1"/>
  <c r="F50" i="26" s="1"/>
  <c r="E50" i="26" s="1"/>
  <c r="D50" i="26" s="1"/>
  <c r="C50" i="26" s="1"/>
  <c r="E20" i="48"/>
  <c r="G20" i="48" s="1"/>
  <c r="E18" i="11"/>
  <c r="A19" i="7"/>
  <c r="A18" i="7" s="1"/>
  <c r="D22" i="44"/>
  <c r="E22" i="44" s="1"/>
  <c r="G22" i="6" s="1"/>
  <c r="D22" i="42"/>
  <c r="E22" i="42" s="1"/>
  <c r="G22" i="4" s="1"/>
  <c r="G44" i="34"/>
  <c r="F44" i="30" s="1"/>
  <c r="C28" i="16"/>
  <c r="G39" i="31"/>
  <c r="C39" i="30" s="1"/>
  <c r="D22" i="41"/>
  <c r="E22" i="41" s="1"/>
  <c r="G22" i="3" s="1"/>
  <c r="D19" i="41"/>
  <c r="E19" i="41" s="1"/>
  <c r="G19" i="3" s="1"/>
  <c r="E32" i="60"/>
  <c r="F32" i="60"/>
  <c r="A11" i="5"/>
  <c r="A23" i="5"/>
  <c r="A22" i="5" s="1"/>
  <c r="A21" i="5" s="1"/>
  <c r="A20" i="5" s="1"/>
  <c r="A19" i="5" s="1"/>
  <c r="A18" i="5" s="1"/>
  <c r="A17" i="5" s="1"/>
  <c r="A16" i="5" s="1"/>
  <c r="A15" i="5" s="1"/>
  <c r="A14" i="5" s="1"/>
  <c r="E34" i="24"/>
  <c r="C19" i="2"/>
  <c r="D16" i="2" s="1"/>
  <c r="A23" i="16"/>
  <c r="A22" i="16" s="1"/>
  <c r="A39" i="16" s="1"/>
  <c r="B49" i="16"/>
  <c r="E34" i="32"/>
  <c r="D36" i="24"/>
  <c r="D39" i="26"/>
  <c r="C39" i="26"/>
  <c r="C17" i="9"/>
  <c r="E17" i="13"/>
  <c r="D48" i="33"/>
  <c r="E48" i="33" s="1"/>
  <c r="G48" i="33" s="1"/>
  <c r="E48" i="30" s="1"/>
  <c r="C31" i="36"/>
  <c r="F31" i="36" s="1"/>
  <c r="E45" i="31"/>
  <c r="D45" i="34"/>
  <c r="E45" i="34" s="1"/>
  <c r="G45" i="34" s="1"/>
  <c r="F45" i="30" s="1"/>
  <c r="E35" i="16"/>
  <c r="E43" i="32"/>
  <c r="F49" i="17"/>
  <c r="E37" i="26"/>
  <c r="D48" i="32"/>
  <c r="E48" i="32" s="1"/>
  <c r="E27" i="37"/>
  <c r="E31" i="16"/>
  <c r="D41" i="32"/>
  <c r="E41" i="32" s="1"/>
  <c r="G41" i="32" s="1"/>
  <c r="D41" i="30" s="1"/>
  <c r="C51" i="33"/>
  <c r="D34" i="16"/>
  <c r="E36" i="16"/>
  <c r="D38" i="16"/>
  <c r="F14" i="38"/>
  <c r="D14" i="37" s="1"/>
  <c r="E14" i="37" s="1"/>
  <c r="E34" i="22"/>
  <c r="D35" i="26"/>
  <c r="D38" i="26"/>
  <c r="E36" i="46"/>
  <c r="D26" i="11"/>
  <c r="G32" i="24"/>
  <c r="C39" i="24"/>
  <c r="E19" i="22"/>
  <c r="G22" i="48"/>
  <c r="E19" i="14"/>
  <c r="E21" i="12"/>
  <c r="E20" i="11"/>
  <c r="F36" i="60"/>
  <c r="D17" i="45"/>
  <c r="E32" i="16"/>
  <c r="F35" i="16"/>
  <c r="F24" i="38"/>
  <c r="D24" i="37" s="1"/>
  <c r="E24" i="37" s="1"/>
  <c r="F26" i="38"/>
  <c r="D26" i="37" s="1"/>
  <c r="E26" i="37" s="1"/>
  <c r="E35" i="22"/>
  <c r="E40" i="22"/>
  <c r="C38" i="26"/>
  <c r="D40" i="26"/>
  <c r="D19" i="46"/>
  <c r="E21" i="48"/>
  <c r="G21" i="48" s="1"/>
  <c r="D24" i="45"/>
  <c r="E37" i="31"/>
  <c r="C36" i="60"/>
  <c r="A18" i="10"/>
  <c r="G57" i="30"/>
  <c r="A19" i="9"/>
  <c r="G39" i="32"/>
  <c r="D39" i="30" s="1"/>
  <c r="A23" i="3"/>
  <c r="A22" i="3" s="1"/>
  <c r="A21" i="3" s="1"/>
  <c r="A20" i="3" s="1"/>
  <c r="A19" i="3" s="1"/>
  <c r="A18" i="3" s="1"/>
  <c r="A17" i="3" s="1"/>
  <c r="A16" i="3" s="1"/>
  <c r="A15" i="3" s="1"/>
  <c r="A14" i="3" s="1"/>
  <c r="A11" i="3"/>
  <c r="G14" i="3"/>
  <c r="D19" i="43"/>
  <c r="E19" i="43" s="1"/>
  <c r="D19" i="44"/>
  <c r="E19" i="44" s="1"/>
  <c r="G19" i="6" s="1"/>
  <c r="E18" i="35"/>
  <c r="D46" i="32"/>
  <c r="E46" i="32" s="1"/>
  <c r="G46" i="32" s="1"/>
  <c r="D46" i="30" s="1"/>
  <c r="D46" i="33"/>
  <c r="E46" i="33" s="1"/>
  <c r="G46" i="33" s="1"/>
  <c r="E46" i="30" s="1"/>
  <c r="E26" i="45"/>
  <c r="E46" i="31"/>
  <c r="E24" i="22"/>
  <c r="E19" i="12"/>
  <c r="E14" i="11"/>
  <c r="C46" i="26" l="1"/>
  <c r="E40" i="17"/>
  <c r="F40" i="17" s="1"/>
  <c r="J43" i="16"/>
  <c r="D21" i="43"/>
  <c r="E21" i="43" s="1"/>
  <c r="G21" i="5" s="1"/>
  <c r="B73" i="29"/>
  <c r="D14" i="2"/>
  <c r="H42" i="60"/>
  <c r="H45" i="60" s="1"/>
  <c r="B71" i="29"/>
  <c r="A55" i="34"/>
  <c r="F15" i="18"/>
  <c r="D31" i="15" s="1"/>
  <c r="C26" i="8"/>
  <c r="E43" i="60"/>
  <c r="A55" i="33"/>
  <c r="D21" i="44"/>
  <c r="E21" i="44" s="1"/>
  <c r="G21" i="6" s="1"/>
  <c r="D21" i="41"/>
  <c r="E21" i="41" s="1"/>
  <c r="G21" i="3" s="1"/>
  <c r="I43" i="16"/>
  <c r="H42" i="24"/>
  <c r="F20" i="18"/>
  <c r="D36" i="15" s="1"/>
  <c r="J42" i="60"/>
  <c r="J45" i="60" s="1"/>
  <c r="J46" i="60" s="1"/>
  <c r="J48" i="60" s="1"/>
  <c r="F17" i="18"/>
  <c r="D33" i="15" s="1"/>
  <c r="G42" i="60"/>
  <c r="G45" i="60" s="1"/>
  <c r="F42" i="24"/>
  <c r="E44" i="24"/>
  <c r="F14" i="18"/>
  <c r="D30" i="15" s="1"/>
  <c r="A51" i="21"/>
  <c r="N52" i="21"/>
  <c r="G46" i="26"/>
  <c r="G43" i="16"/>
  <c r="J43" i="60"/>
  <c r="N47" i="20"/>
  <c r="A46" i="20"/>
  <c r="C26" i="7"/>
  <c r="A50" i="19"/>
  <c r="N51" i="19"/>
  <c r="A14" i="18"/>
  <c r="N14" i="18" s="1"/>
  <c r="N15" i="18"/>
  <c r="F19" i="18"/>
  <c r="D35" i="15" s="1"/>
  <c r="C42" i="16"/>
  <c r="C45" i="16" s="1"/>
  <c r="C43" i="16"/>
  <c r="H44" i="26"/>
  <c r="J42" i="16"/>
  <c r="J45" i="16" s="1"/>
  <c r="J46" i="16" s="1"/>
  <c r="H42" i="16"/>
  <c r="H45" i="16" s="1"/>
  <c r="A21" i="16"/>
  <c r="A20" i="16" s="1"/>
  <c r="E43" i="16"/>
  <c r="D43" i="16"/>
  <c r="F18" i="18"/>
  <c r="D34" i="15" s="1"/>
  <c r="F43" i="24"/>
  <c r="F37" i="28"/>
  <c r="H45" i="24"/>
  <c r="H17" i="17"/>
  <c r="H41" i="17"/>
  <c r="G42" i="17"/>
  <c r="H45" i="17"/>
  <c r="G20" i="17"/>
  <c r="G35" i="17"/>
  <c r="C18" i="15" s="1"/>
  <c r="H38" i="17"/>
  <c r="G27" i="17"/>
  <c r="H30" i="17"/>
  <c r="G17" i="17"/>
  <c r="H20" i="17"/>
  <c r="G43" i="17"/>
  <c r="C20" i="15" s="1"/>
  <c r="H46" i="17"/>
  <c r="G37" i="17"/>
  <c r="H40" i="17"/>
  <c r="G19" i="17"/>
  <c r="C14" i="15" s="1"/>
  <c r="G33" i="17"/>
  <c r="H36" i="17"/>
  <c r="G14" i="17"/>
  <c r="G16" i="17"/>
  <c r="H19" i="17"/>
  <c r="G40" i="17"/>
  <c r="H43" i="17"/>
  <c r="G49" i="17"/>
  <c r="G26" i="17"/>
  <c r="H29" i="17"/>
  <c r="G30" i="17"/>
  <c r="H33" i="17"/>
  <c r="G44" i="17"/>
  <c r="G25" i="17"/>
  <c r="H28" i="17"/>
  <c r="G28" i="17"/>
  <c r="H31" i="17"/>
  <c r="G18" i="17"/>
  <c r="G31" i="17"/>
  <c r="C17" i="15" s="1"/>
  <c r="H34" i="17"/>
  <c r="G36" i="17"/>
  <c r="H39" i="17"/>
  <c r="G41" i="17"/>
  <c r="H44" i="17"/>
  <c r="G39" i="17"/>
  <c r="C19" i="15" s="1"/>
  <c r="H42" i="17"/>
  <c r="G15" i="17"/>
  <c r="H18" i="17"/>
  <c r="G45" i="17"/>
  <c r="G34" i="17"/>
  <c r="H37" i="17"/>
  <c r="G29" i="17"/>
  <c r="H32" i="17"/>
  <c r="G32" i="17"/>
  <c r="H35" i="17"/>
  <c r="E22" i="17"/>
  <c r="A49" i="17"/>
  <c r="O49" i="17"/>
  <c r="N48" i="17"/>
  <c r="C26" i="9"/>
  <c r="L16" i="30"/>
  <c r="A17" i="30"/>
  <c r="D28" i="16"/>
  <c r="F51" i="17"/>
  <c r="G51" i="17" s="1"/>
  <c r="E48" i="29"/>
  <c r="F11" i="60"/>
  <c r="G11" i="60" s="1"/>
  <c r="D28" i="60"/>
  <c r="A56" i="32"/>
  <c r="A59" i="32"/>
  <c r="F45" i="24"/>
  <c r="G44" i="26"/>
  <c r="A11" i="6"/>
  <c r="F21" i="18"/>
  <c r="D37" i="15" s="1"/>
  <c r="E60" i="22"/>
  <c r="D14" i="5" s="1"/>
  <c r="G42" i="16"/>
  <c r="G45" i="16" s="1"/>
  <c r="D33" i="34"/>
  <c r="E33" i="34" s="1"/>
  <c r="G33" i="34" s="1"/>
  <c r="F33" i="30" s="1"/>
  <c r="E33" i="31"/>
  <c r="G33" i="31" s="1"/>
  <c r="C33" i="30" s="1"/>
  <c r="D42" i="60"/>
  <c r="D45" i="60" s="1"/>
  <c r="C31" i="37"/>
  <c r="I42" i="60"/>
  <c r="I45" i="60" s="1"/>
  <c r="I46" i="60" s="1"/>
  <c r="D17" i="41"/>
  <c r="E17" i="41" s="1"/>
  <c r="G17" i="3" s="1"/>
  <c r="D17" i="44"/>
  <c r="E17" i="44" s="1"/>
  <c r="G17" i="6" s="1"/>
  <c r="F42" i="16"/>
  <c r="F45" i="16" s="1"/>
  <c r="E26" i="13"/>
  <c r="E28" i="60"/>
  <c r="I43" i="60"/>
  <c r="D17" i="42"/>
  <c r="E17" i="42" s="1"/>
  <c r="G17" i="4" s="1"/>
  <c r="H43" i="24"/>
  <c r="E19" i="37"/>
  <c r="E46" i="26"/>
  <c r="G21" i="1"/>
  <c r="H43" i="60"/>
  <c r="C28" i="60"/>
  <c r="E15" i="37"/>
  <c r="E52" i="29"/>
  <c r="C24" i="28" s="1"/>
  <c r="E26" i="29"/>
  <c r="G26" i="29" s="1"/>
  <c r="E16" i="29"/>
  <c r="G16" i="29" s="1"/>
  <c r="E25" i="29"/>
  <c r="G25" i="29" s="1"/>
  <c r="E17" i="29"/>
  <c r="E27" i="29"/>
  <c r="C17" i="28" s="1"/>
  <c r="E24" i="29"/>
  <c r="G24" i="29" s="1"/>
  <c r="E28" i="29"/>
  <c r="E29" i="29"/>
  <c r="E15" i="29"/>
  <c r="E13" i="29"/>
  <c r="G13" i="29" s="1"/>
  <c r="E21" i="29"/>
  <c r="G21" i="29" s="1"/>
  <c r="E23" i="29"/>
  <c r="G23" i="29" s="1"/>
  <c r="E19" i="29"/>
  <c r="G19" i="29" s="1"/>
  <c r="D14" i="31"/>
  <c r="E20" i="29"/>
  <c r="G20" i="29" s="1"/>
  <c r="E14" i="29"/>
  <c r="G14" i="29" s="1"/>
  <c r="E22" i="29"/>
  <c r="G22" i="29" s="1"/>
  <c r="E18" i="29"/>
  <c r="E46" i="29"/>
  <c r="C22" i="28" s="1"/>
  <c r="D31" i="33"/>
  <c r="E31" i="33" s="1"/>
  <c r="G31" i="33" s="1"/>
  <c r="E31" i="30" s="1"/>
  <c r="D31" i="34"/>
  <c r="E31" i="34" s="1"/>
  <c r="G31" i="34" s="1"/>
  <c r="F31" i="30" s="1"/>
  <c r="D31" i="32"/>
  <c r="E31" i="32" s="1"/>
  <c r="G31" i="32" s="1"/>
  <c r="D31" i="30" s="1"/>
  <c r="E31" i="31"/>
  <c r="E54" i="29"/>
  <c r="C25" i="28" s="1"/>
  <c r="E60" i="29"/>
  <c r="E58" i="29"/>
  <c r="B72" i="29"/>
  <c r="A39" i="60"/>
  <c r="A21" i="60"/>
  <c r="E26" i="11"/>
  <c r="D20" i="44"/>
  <c r="E20" i="44" s="1"/>
  <c r="G20" i="6" s="1"/>
  <c r="G15" i="1"/>
  <c r="G45" i="26"/>
  <c r="D43" i="60"/>
  <c r="G43" i="24"/>
  <c r="E42" i="60"/>
  <c r="E45" i="60" s="1"/>
  <c r="E51" i="29"/>
  <c r="D18" i="41"/>
  <c r="E18" i="41" s="1"/>
  <c r="G18" i="3" s="1"/>
  <c r="D18" i="44"/>
  <c r="E18" i="44" s="1"/>
  <c r="G18" i="6" s="1"/>
  <c r="D18" i="43"/>
  <c r="E18" i="43" s="1"/>
  <c r="G18" i="5" s="1"/>
  <c r="D18" i="42"/>
  <c r="E18" i="42" s="1"/>
  <c r="G18" i="4" s="1"/>
  <c r="E47" i="26"/>
  <c r="E25" i="35"/>
  <c r="E31" i="35" s="1"/>
  <c r="D20" i="43"/>
  <c r="E20" i="43" s="1"/>
  <c r="G20" i="5" s="1"/>
  <c r="D20" i="41"/>
  <c r="E20" i="41" s="1"/>
  <c r="G20" i="3" s="1"/>
  <c r="B30" i="12"/>
  <c r="G47" i="26"/>
  <c r="H43" i="16"/>
  <c r="E55" i="29"/>
  <c r="C26" i="28" s="1"/>
  <c r="D59" i="22"/>
  <c r="H47" i="26"/>
  <c r="E43" i="24"/>
  <c r="A19" i="26"/>
  <c r="A18" i="26" s="1"/>
  <c r="E11" i="24"/>
  <c r="D28" i="24" s="1"/>
  <c r="C45" i="26"/>
  <c r="G45" i="24"/>
  <c r="F47" i="26"/>
  <c r="F45" i="26"/>
  <c r="F44" i="26"/>
  <c r="E26" i="12"/>
  <c r="E42" i="24"/>
  <c r="E26" i="14"/>
  <c r="C42" i="24"/>
  <c r="B30" i="13"/>
  <c r="A23" i="13"/>
  <c r="A22" i="13" s="1"/>
  <c r="A21" i="13" s="1"/>
  <c r="A20" i="13" s="1"/>
  <c r="A19" i="13" s="1"/>
  <c r="A18" i="13" s="1"/>
  <c r="A17" i="13" s="1"/>
  <c r="A16" i="13" s="1"/>
  <c r="A15" i="13" s="1"/>
  <c r="A14" i="13" s="1"/>
  <c r="E63" i="29"/>
  <c r="H45" i="26"/>
  <c r="D26" i="58"/>
  <c r="D28" i="58" s="1"/>
  <c r="F46" i="26"/>
  <c r="E45" i="24"/>
  <c r="E57" i="29"/>
  <c r="E28" i="16"/>
  <c r="C26" i="10"/>
  <c r="I42" i="16"/>
  <c r="I45" i="16" s="1"/>
  <c r="A38" i="24"/>
  <c r="A20" i="24"/>
  <c r="F47" i="17"/>
  <c r="H47" i="17" s="1"/>
  <c r="E48" i="17"/>
  <c r="F48" i="17" s="1"/>
  <c r="E56" i="29"/>
  <c r="G40" i="34"/>
  <c r="F40" i="30" s="1"/>
  <c r="G43" i="60"/>
  <c r="H11" i="26"/>
  <c r="G29" i="26" s="1"/>
  <c r="H46" i="26"/>
  <c r="D23" i="41"/>
  <c r="E23" i="41" s="1"/>
  <c r="G23" i="3" s="1"/>
  <c r="D23" i="42"/>
  <c r="E23" i="42" s="1"/>
  <c r="G23" i="4" s="1"/>
  <c r="D23" i="44"/>
  <c r="E23" i="44" s="1"/>
  <c r="G23" i="6" s="1"/>
  <c r="D23" i="43"/>
  <c r="E23" i="43" s="1"/>
  <c r="G23" i="5" s="1"/>
  <c r="D16" i="44"/>
  <c r="E16" i="44" s="1"/>
  <c r="G16" i="6" s="1"/>
  <c r="D16" i="41"/>
  <c r="E16" i="41" s="1"/>
  <c r="G16" i="3" s="1"/>
  <c r="D16" i="43"/>
  <c r="E16" i="43" s="1"/>
  <c r="G16" i="5" s="1"/>
  <c r="D16" i="42"/>
  <c r="E16" i="42" s="1"/>
  <c r="D45" i="26"/>
  <c r="D44" i="26"/>
  <c r="E42" i="16"/>
  <c r="E45" i="16" s="1"/>
  <c r="G48" i="32"/>
  <c r="D48" i="30" s="1"/>
  <c r="E64" i="29"/>
  <c r="C27" i="28" s="1"/>
  <c r="G45" i="31"/>
  <c r="C45" i="30" s="1"/>
  <c r="E61" i="29"/>
  <c r="C47" i="26"/>
  <c r="G34" i="32"/>
  <c r="D34" i="30" s="1"/>
  <c r="E50" i="29"/>
  <c r="C23" i="28" s="1"/>
  <c r="F42" i="60"/>
  <c r="F45" i="60" s="1"/>
  <c r="F43" i="60"/>
  <c r="C44" i="24"/>
  <c r="C45" i="24"/>
  <c r="C44" i="26"/>
  <c r="C43" i="60"/>
  <c r="C42" i="60"/>
  <c r="C45" i="60" s="1"/>
  <c r="G43" i="32"/>
  <c r="D43" i="30" s="1"/>
  <c r="E59" i="29"/>
  <c r="G42" i="24"/>
  <c r="A19" i="8"/>
  <c r="G37" i="31"/>
  <c r="C37" i="30" s="1"/>
  <c r="E53" i="29"/>
  <c r="F43" i="16"/>
  <c r="D43" i="24"/>
  <c r="D45" i="24"/>
  <c r="D44" i="24"/>
  <c r="D42" i="24"/>
  <c r="C43" i="24"/>
  <c r="E45" i="26"/>
  <c r="F21" i="17"/>
  <c r="D47" i="26"/>
  <c r="D46" i="26"/>
  <c r="D42" i="16"/>
  <c r="D45" i="16" s="1"/>
  <c r="D15" i="2"/>
  <c r="D17" i="2"/>
  <c r="A17" i="7"/>
  <c r="A16" i="7" s="1"/>
  <c r="A15" i="7" s="1"/>
  <c r="E44" i="26"/>
  <c r="D58" i="30"/>
  <c r="E58" i="30"/>
  <c r="C58" i="30"/>
  <c r="A17" i="10"/>
  <c r="F39" i="28"/>
  <c r="A18" i="9"/>
  <c r="F58" i="30"/>
  <c r="G46" i="31"/>
  <c r="C46" i="30" s="1"/>
  <c r="E62" i="29"/>
  <c r="G19" i="5"/>
  <c r="G49" i="33"/>
  <c r="E49" i="30" s="1"/>
  <c r="E65" i="29"/>
  <c r="H11" i="16"/>
  <c r="G28" i="16" s="1"/>
  <c r="A37" i="26" l="1"/>
  <c r="A45" i="20"/>
  <c r="N46" i="20"/>
  <c r="E31" i="37"/>
  <c r="E34" i="37" s="1"/>
  <c r="C18" i="27" s="1"/>
  <c r="N50" i="19"/>
  <c r="A49" i="19"/>
  <c r="A50" i="21"/>
  <c r="N51" i="21"/>
  <c r="I46" i="16"/>
  <c r="H46" i="16" s="1"/>
  <c r="G46" i="16" s="1"/>
  <c r="F46" i="16" s="1"/>
  <c r="E46" i="16" s="1"/>
  <c r="A38" i="16"/>
  <c r="D16" i="7"/>
  <c r="E16" i="7" s="1"/>
  <c r="C16" i="3" s="1"/>
  <c r="D14" i="3"/>
  <c r="D17" i="3" s="1"/>
  <c r="H51" i="17"/>
  <c r="D23" i="5"/>
  <c r="D20" i="5"/>
  <c r="D18" i="5"/>
  <c r="D22" i="5"/>
  <c r="D17" i="5"/>
  <c r="D15" i="5"/>
  <c r="D16" i="5"/>
  <c r="D19" i="5"/>
  <c r="D21" i="5"/>
  <c r="H48" i="17"/>
  <c r="G21" i="17"/>
  <c r="H21" i="17"/>
  <c r="H52" i="17"/>
  <c r="G47" i="17"/>
  <c r="H50" i="17"/>
  <c r="H49" i="17"/>
  <c r="C22" i="15"/>
  <c r="C35" i="15" s="1"/>
  <c r="G48" i="17"/>
  <c r="O48" i="17"/>
  <c r="A48" i="17"/>
  <c r="N47" i="17"/>
  <c r="F28" i="60"/>
  <c r="G26" i="6"/>
  <c r="L17" i="30"/>
  <c r="A18" i="30"/>
  <c r="E26" i="44"/>
  <c r="E26" i="41"/>
  <c r="G26" i="3"/>
  <c r="H11" i="60"/>
  <c r="G28" i="60" s="1"/>
  <c r="D14" i="4"/>
  <c r="D14" i="6"/>
  <c r="E49" i="29"/>
  <c r="A58" i="34"/>
  <c r="A58" i="33"/>
  <c r="D31" i="35"/>
  <c r="E34" i="35"/>
  <c r="C17" i="27" s="1"/>
  <c r="G26" i="5"/>
  <c r="G31" i="31"/>
  <c r="C31" i="30" s="1"/>
  <c r="E47" i="29"/>
  <c r="C15" i="28"/>
  <c r="G17" i="29"/>
  <c r="E15" i="28" s="1"/>
  <c r="C16" i="28"/>
  <c r="G18" i="29"/>
  <c r="E16" i="28" s="1"/>
  <c r="D17" i="31"/>
  <c r="D16" i="31"/>
  <c r="D28" i="31"/>
  <c r="D26" i="31"/>
  <c r="D22" i="31"/>
  <c r="D15" i="31"/>
  <c r="D14" i="34"/>
  <c r="E14" i="34" s="1"/>
  <c r="D19" i="31"/>
  <c r="D29" i="31"/>
  <c r="E14" i="31"/>
  <c r="G14" i="31" s="1"/>
  <c r="D24" i="31"/>
  <c r="D14" i="33"/>
  <c r="E14" i="33" s="1"/>
  <c r="D18" i="31"/>
  <c r="D20" i="31"/>
  <c r="D21" i="31"/>
  <c r="D27" i="31"/>
  <c r="D25" i="31"/>
  <c r="D14" i="32"/>
  <c r="E14" i="32" s="1"/>
  <c r="D23" i="31"/>
  <c r="C14" i="28"/>
  <c r="G15" i="29"/>
  <c r="E14" i="28" s="1"/>
  <c r="E26" i="43"/>
  <c r="A38" i="60"/>
  <c r="A20" i="60"/>
  <c r="F11" i="24"/>
  <c r="E28" i="24" s="1"/>
  <c r="D19" i="2"/>
  <c r="C21" i="15"/>
  <c r="A37" i="24"/>
  <c r="A19" i="24"/>
  <c r="I11" i="26"/>
  <c r="I29" i="26" s="1"/>
  <c r="G16" i="4"/>
  <c r="G26" i="4" s="1"/>
  <c r="E26" i="42"/>
  <c r="F22" i="17"/>
  <c r="E23" i="17"/>
  <c r="A18" i="8"/>
  <c r="A17" i="26"/>
  <c r="A36" i="26"/>
  <c r="I48" i="60"/>
  <c r="H46" i="60"/>
  <c r="A14" i="7"/>
  <c r="D15" i="7"/>
  <c r="E15" i="7" s="1"/>
  <c r="A16" i="10"/>
  <c r="A17" i="9"/>
  <c r="G58" i="30"/>
  <c r="G49" i="30" s="1"/>
  <c r="I11" i="16"/>
  <c r="H28" i="16" s="1"/>
  <c r="A19" i="16"/>
  <c r="A37" i="16"/>
  <c r="D31" i="37" l="1"/>
  <c r="C20" i="27"/>
  <c r="D20" i="3"/>
  <c r="A49" i="21"/>
  <c r="N50" i="21"/>
  <c r="A48" i="19"/>
  <c r="N49" i="19"/>
  <c r="N45" i="20"/>
  <c r="A44" i="20"/>
  <c r="D46" i="16"/>
  <c r="C46" i="16" s="1"/>
  <c r="D23" i="3"/>
  <c r="D17" i="7"/>
  <c r="E17" i="7" s="1"/>
  <c r="C17" i="3" s="1"/>
  <c r="D18" i="3"/>
  <c r="D16" i="3"/>
  <c r="D19" i="3"/>
  <c r="D22" i="3"/>
  <c r="D21" i="3"/>
  <c r="D15" i="3"/>
  <c r="C34" i="15"/>
  <c r="G22" i="17"/>
  <c r="H22" i="17"/>
  <c r="C38" i="15"/>
  <c r="C39" i="15"/>
  <c r="C31" i="15"/>
  <c r="C30" i="15" s="1"/>
  <c r="C36" i="15"/>
  <c r="C37" i="15"/>
  <c r="A47" i="17"/>
  <c r="O47" i="17"/>
  <c r="N46" i="17"/>
  <c r="L18" i="30"/>
  <c r="A19" i="30"/>
  <c r="I11" i="60"/>
  <c r="H28" i="60" s="1"/>
  <c r="D20" i="6"/>
  <c r="D22" i="6"/>
  <c r="D23" i="6"/>
  <c r="D19" i="6"/>
  <c r="D15" i="6"/>
  <c r="D16" i="6"/>
  <c r="D21" i="6"/>
  <c r="D17" i="6"/>
  <c r="D18" i="6"/>
  <c r="D21" i="4"/>
  <c r="D16" i="4"/>
  <c r="D19" i="4"/>
  <c r="D20" i="4"/>
  <c r="D15" i="4"/>
  <c r="D17" i="4"/>
  <c r="D23" i="4"/>
  <c r="D22" i="4"/>
  <c r="D18" i="4"/>
  <c r="D27" i="34"/>
  <c r="E27" i="34" s="1"/>
  <c r="G27" i="34" s="1"/>
  <c r="F27" i="30" s="1"/>
  <c r="D27" i="32"/>
  <c r="E27" i="32" s="1"/>
  <c r="G27" i="32" s="1"/>
  <c r="D27" i="30" s="1"/>
  <c r="D27" i="33"/>
  <c r="E27" i="33" s="1"/>
  <c r="G27" i="33" s="1"/>
  <c r="E27" i="30" s="1"/>
  <c r="E27" i="31"/>
  <c r="G14" i="33"/>
  <c r="E14" i="30" s="1"/>
  <c r="E19" i="31"/>
  <c r="D19" i="33"/>
  <c r="E19" i="33" s="1"/>
  <c r="G19" i="33" s="1"/>
  <c r="E19" i="30" s="1"/>
  <c r="D19" i="32"/>
  <c r="E19" i="32" s="1"/>
  <c r="G19" i="32" s="1"/>
  <c r="D19" i="30" s="1"/>
  <c r="D19" i="34"/>
  <c r="E19" i="34" s="1"/>
  <c r="G19" i="34" s="1"/>
  <c r="F19" i="30" s="1"/>
  <c r="D26" i="33"/>
  <c r="E26" i="33" s="1"/>
  <c r="G26" i="33" s="1"/>
  <c r="E26" i="30" s="1"/>
  <c r="D26" i="32"/>
  <c r="E26" i="32" s="1"/>
  <c r="G26" i="32" s="1"/>
  <c r="D26" i="30" s="1"/>
  <c r="D26" i="34"/>
  <c r="E26" i="34" s="1"/>
  <c r="G26" i="34" s="1"/>
  <c r="F26" i="30" s="1"/>
  <c r="E26" i="31"/>
  <c r="D29" i="33"/>
  <c r="E29" i="33" s="1"/>
  <c r="G29" i="33" s="1"/>
  <c r="E29" i="30" s="1"/>
  <c r="D29" i="34"/>
  <c r="E29" i="34" s="1"/>
  <c r="G29" i="34" s="1"/>
  <c r="F29" i="30" s="1"/>
  <c r="D29" i="32"/>
  <c r="E29" i="32" s="1"/>
  <c r="G29" i="32" s="1"/>
  <c r="D29" i="30" s="1"/>
  <c r="E29" i="31"/>
  <c r="D23" i="32"/>
  <c r="E23" i="32" s="1"/>
  <c r="G23" i="32" s="1"/>
  <c r="D23" i="30" s="1"/>
  <c r="D23" i="33"/>
  <c r="E23" i="33" s="1"/>
  <c r="G23" i="33" s="1"/>
  <c r="E23" i="30" s="1"/>
  <c r="D23" i="34"/>
  <c r="E23" i="34" s="1"/>
  <c r="G23" i="34" s="1"/>
  <c r="F23" i="30" s="1"/>
  <c r="E23" i="31"/>
  <c r="E21" i="31"/>
  <c r="G21" i="31" s="1"/>
  <c r="C21" i="30" s="1"/>
  <c r="D21" i="33"/>
  <c r="E21" i="33" s="1"/>
  <c r="D21" i="32"/>
  <c r="E21" i="32" s="1"/>
  <c r="G21" i="32" s="1"/>
  <c r="D21" i="30" s="1"/>
  <c r="D21" i="34"/>
  <c r="E21" i="34" s="1"/>
  <c r="G21" i="34" s="1"/>
  <c r="F21" i="30" s="1"/>
  <c r="D24" i="33"/>
  <c r="E24" i="33" s="1"/>
  <c r="G24" i="33" s="1"/>
  <c r="E24" i="30" s="1"/>
  <c r="D24" i="32"/>
  <c r="E24" i="32" s="1"/>
  <c r="G24" i="32" s="1"/>
  <c r="D24" i="30" s="1"/>
  <c r="D24" i="34"/>
  <c r="E24" i="34" s="1"/>
  <c r="G24" i="34" s="1"/>
  <c r="F24" i="30" s="1"/>
  <c r="E24" i="31"/>
  <c r="G14" i="34"/>
  <c r="F14" i="30" s="1"/>
  <c r="D28" i="34"/>
  <c r="E28" i="34" s="1"/>
  <c r="G28" i="34" s="1"/>
  <c r="F28" i="30" s="1"/>
  <c r="D28" i="32"/>
  <c r="E28" i="32" s="1"/>
  <c r="G28" i="32" s="1"/>
  <c r="D28" i="30" s="1"/>
  <c r="D28" i="33"/>
  <c r="E28" i="33" s="1"/>
  <c r="G28" i="33" s="1"/>
  <c r="E28" i="30" s="1"/>
  <c r="E28" i="31"/>
  <c r="D25" i="33"/>
  <c r="E25" i="33" s="1"/>
  <c r="G25" i="33" s="1"/>
  <c r="E25" i="30" s="1"/>
  <c r="D25" i="32"/>
  <c r="E25" i="32" s="1"/>
  <c r="G25" i="32" s="1"/>
  <c r="D25" i="30" s="1"/>
  <c r="D25" i="34"/>
  <c r="E25" i="34" s="1"/>
  <c r="G25" i="34" s="1"/>
  <c r="F25" i="30" s="1"/>
  <c r="E25" i="31"/>
  <c r="D18" i="34"/>
  <c r="E18" i="34" s="1"/>
  <c r="G18" i="34" s="1"/>
  <c r="F18" i="30" s="1"/>
  <c r="E18" i="31"/>
  <c r="D18" i="32"/>
  <c r="E18" i="32" s="1"/>
  <c r="G18" i="32" s="1"/>
  <c r="D18" i="30" s="1"/>
  <c r="D18" i="33"/>
  <c r="E18" i="33" s="1"/>
  <c r="G18" i="33" s="1"/>
  <c r="E18" i="30" s="1"/>
  <c r="D22" i="33"/>
  <c r="E22" i="33" s="1"/>
  <c r="G22" i="33" s="1"/>
  <c r="E22" i="30" s="1"/>
  <c r="D22" i="34"/>
  <c r="E22" i="34" s="1"/>
  <c r="G22" i="34" s="1"/>
  <c r="F22" i="30" s="1"/>
  <c r="D22" i="32"/>
  <c r="E22" i="32" s="1"/>
  <c r="G22" i="32" s="1"/>
  <c r="D22" i="30" s="1"/>
  <c r="E22" i="31"/>
  <c r="E17" i="31"/>
  <c r="D17" i="34"/>
  <c r="E17" i="34" s="1"/>
  <c r="G17" i="34" s="1"/>
  <c r="F17" i="30" s="1"/>
  <c r="D17" i="32"/>
  <c r="E17" i="32" s="1"/>
  <c r="G17" i="32" s="1"/>
  <c r="D17" i="30" s="1"/>
  <c r="D17" i="33"/>
  <c r="E17" i="33" s="1"/>
  <c r="G17" i="33" s="1"/>
  <c r="E17" i="30" s="1"/>
  <c r="G14" i="32"/>
  <c r="D14" i="30" s="1"/>
  <c r="D20" i="32"/>
  <c r="E20" i="32" s="1"/>
  <c r="G20" i="32" s="1"/>
  <c r="D20" i="30" s="1"/>
  <c r="D20" i="34"/>
  <c r="E20" i="34" s="1"/>
  <c r="G20" i="34" s="1"/>
  <c r="F20" i="30" s="1"/>
  <c r="D20" i="33"/>
  <c r="E20" i="33" s="1"/>
  <c r="G20" i="33" s="1"/>
  <c r="E20" i="30" s="1"/>
  <c r="E20" i="31"/>
  <c r="C14" i="30"/>
  <c r="E30" i="29"/>
  <c r="E15" i="31"/>
  <c r="D15" i="34"/>
  <c r="E15" i="34" s="1"/>
  <c r="G15" i="34" s="1"/>
  <c r="F15" i="30" s="1"/>
  <c r="D15" i="32"/>
  <c r="E15" i="32" s="1"/>
  <c r="G15" i="32" s="1"/>
  <c r="D15" i="30" s="1"/>
  <c r="D15" i="33"/>
  <c r="E15" i="33" s="1"/>
  <c r="G15" i="33" s="1"/>
  <c r="E15" i="30" s="1"/>
  <c r="D16" i="34"/>
  <c r="E16" i="34" s="1"/>
  <c r="G16" i="34" s="1"/>
  <c r="F16" i="30" s="1"/>
  <c r="D16" i="33"/>
  <c r="E16" i="33" s="1"/>
  <c r="G16" i="33" s="1"/>
  <c r="E16" i="30" s="1"/>
  <c r="D16" i="32"/>
  <c r="E16" i="32" s="1"/>
  <c r="G16" i="32" s="1"/>
  <c r="D16" i="30" s="1"/>
  <c r="E16" i="31"/>
  <c r="A37" i="60"/>
  <c r="A19" i="60"/>
  <c r="G11" i="24"/>
  <c r="F28" i="24" s="1"/>
  <c r="G43" i="30"/>
  <c r="H43" i="30" s="1"/>
  <c r="G59" i="29" s="1"/>
  <c r="G38" i="30"/>
  <c r="H38" i="30" s="1"/>
  <c r="G54" i="29" s="1"/>
  <c r="E25" i="28" s="1"/>
  <c r="G47" i="30"/>
  <c r="G31" i="30"/>
  <c r="H31" i="30" s="1"/>
  <c r="G47" i="29" s="1"/>
  <c r="H29" i="26"/>
  <c r="A18" i="24"/>
  <c r="A36" i="24"/>
  <c r="G44" i="30"/>
  <c r="G48" i="30"/>
  <c r="D18" i="8"/>
  <c r="E18" i="8" s="1"/>
  <c r="C18" i="4" s="1"/>
  <c r="A17" i="8"/>
  <c r="E24" i="17"/>
  <c r="F24" i="17" s="1"/>
  <c r="H27" i="17" s="1"/>
  <c r="F23" i="17"/>
  <c r="H23" i="17" s="1"/>
  <c r="A16" i="26"/>
  <c r="A35" i="26"/>
  <c r="G42" i="30"/>
  <c r="H42" i="30" s="1"/>
  <c r="G41" i="30"/>
  <c r="H41" i="30" s="1"/>
  <c r="A16" i="9"/>
  <c r="H48" i="60"/>
  <c r="G46" i="60"/>
  <c r="G30" i="30"/>
  <c r="H30" i="30" s="1"/>
  <c r="G40" i="30"/>
  <c r="H40" i="30" s="1"/>
  <c r="G36" i="30"/>
  <c r="H36" i="30" s="1"/>
  <c r="G46" i="30"/>
  <c r="G34" i="30"/>
  <c r="H34" i="30" s="1"/>
  <c r="G45" i="30"/>
  <c r="C15" i="3"/>
  <c r="A36" i="16"/>
  <c r="A18" i="16"/>
  <c r="J11" i="16"/>
  <c r="I28" i="16" s="1"/>
  <c r="G33" i="30"/>
  <c r="H33" i="30" s="1"/>
  <c r="G32" i="30"/>
  <c r="H32" i="30" s="1"/>
  <c r="G37" i="30"/>
  <c r="H37" i="30" s="1"/>
  <c r="G35" i="30"/>
  <c r="H35" i="30" s="1"/>
  <c r="G39" i="30"/>
  <c r="H39" i="30" s="1"/>
  <c r="A15" i="10"/>
  <c r="D16" i="10" s="1"/>
  <c r="E16" i="10" s="1"/>
  <c r="C16" i="6" s="1"/>
  <c r="A47" i="19" l="1"/>
  <c r="N48" i="19"/>
  <c r="N44" i="20"/>
  <c r="A43" i="20"/>
  <c r="A48" i="21"/>
  <c r="N49" i="21"/>
  <c r="D18" i="10"/>
  <c r="E18" i="10" s="1"/>
  <c r="C18" i="6" s="1"/>
  <c r="D18" i="7"/>
  <c r="E18" i="7" s="1"/>
  <c r="D18" i="9"/>
  <c r="E18" i="9" s="1"/>
  <c r="C18" i="5" s="1"/>
  <c r="H24" i="17"/>
  <c r="G23" i="17"/>
  <c r="H26" i="17"/>
  <c r="H25" i="17"/>
  <c r="C16" i="15"/>
  <c r="C33" i="15" s="1"/>
  <c r="G24" i="17"/>
  <c r="A46" i="17"/>
  <c r="O46" i="17"/>
  <c r="N45" i="17"/>
  <c r="L19" i="30"/>
  <c r="A20" i="30"/>
  <c r="J11" i="60"/>
  <c r="I28" i="60" s="1"/>
  <c r="H44" i="30"/>
  <c r="G60" i="29" s="1"/>
  <c r="G15" i="31"/>
  <c r="C15" i="30" s="1"/>
  <c r="G15" i="30" s="1"/>
  <c r="H15" i="30" s="1"/>
  <c r="G31" i="29" s="1"/>
  <c r="E31" i="29"/>
  <c r="G20" i="31"/>
  <c r="C20" i="30" s="1"/>
  <c r="G20" i="30" s="1"/>
  <c r="H20" i="30" s="1"/>
  <c r="G36" i="29" s="1"/>
  <c r="E20" i="28" s="1"/>
  <c r="E36" i="29"/>
  <c r="C20" i="28" s="1"/>
  <c r="E51" i="32"/>
  <c r="G51" i="32" s="1"/>
  <c r="F51" i="30"/>
  <c r="G19" i="31"/>
  <c r="C19" i="30" s="1"/>
  <c r="G19" i="30" s="1"/>
  <c r="H19" i="30" s="1"/>
  <c r="G35" i="29" s="1"/>
  <c r="E35" i="29"/>
  <c r="G22" i="31"/>
  <c r="C22" i="30" s="1"/>
  <c r="G22" i="30" s="1"/>
  <c r="H22" i="30" s="1"/>
  <c r="G38" i="29" s="1"/>
  <c r="E38" i="29"/>
  <c r="G28" i="31"/>
  <c r="C28" i="30" s="1"/>
  <c r="G28" i="30" s="1"/>
  <c r="H28" i="30" s="1"/>
  <c r="E44" i="29"/>
  <c r="E51" i="34"/>
  <c r="G51" i="34" s="1"/>
  <c r="G16" i="31"/>
  <c r="C16" i="30" s="1"/>
  <c r="G16" i="30" s="1"/>
  <c r="H16" i="30" s="1"/>
  <c r="E32" i="29"/>
  <c r="E52" i="31"/>
  <c r="G52" i="31" s="1"/>
  <c r="D51" i="30"/>
  <c r="G18" i="31"/>
  <c r="C18" i="30" s="1"/>
  <c r="G18" i="30" s="1"/>
  <c r="H18" i="30" s="1"/>
  <c r="E34" i="29"/>
  <c r="E40" i="29"/>
  <c r="G24" i="31"/>
  <c r="C24" i="30" s="1"/>
  <c r="G24" i="30" s="1"/>
  <c r="H24" i="30" s="1"/>
  <c r="G23" i="31"/>
  <c r="C23" i="30" s="1"/>
  <c r="G23" i="30" s="1"/>
  <c r="H23" i="30" s="1"/>
  <c r="E39" i="29"/>
  <c r="E45" i="29"/>
  <c r="G29" i="31"/>
  <c r="C29" i="30" s="1"/>
  <c r="G29" i="30" s="1"/>
  <c r="H29" i="30" s="1"/>
  <c r="E42" i="29"/>
  <c r="G26" i="31"/>
  <c r="C26" i="30" s="1"/>
  <c r="G26" i="30" s="1"/>
  <c r="H26" i="30" s="1"/>
  <c r="E51" i="33"/>
  <c r="G51" i="33" s="1"/>
  <c r="G25" i="31"/>
  <c r="C25" i="30" s="1"/>
  <c r="G25" i="30" s="1"/>
  <c r="H25" i="30" s="1"/>
  <c r="E41" i="29"/>
  <c r="E37" i="29"/>
  <c r="C21" i="28" s="1"/>
  <c r="G21" i="33"/>
  <c r="E21" i="30" s="1"/>
  <c r="G21" i="30" s="1"/>
  <c r="H21" i="30" s="1"/>
  <c r="G37" i="29" s="1"/>
  <c r="E21" i="28" s="1"/>
  <c r="E43" i="29"/>
  <c r="G27" i="31"/>
  <c r="C27" i="30" s="1"/>
  <c r="G27" i="30" s="1"/>
  <c r="H27" i="30" s="1"/>
  <c r="G14" i="30"/>
  <c r="H14" i="30" s="1"/>
  <c r="C18" i="28"/>
  <c r="E33" i="29"/>
  <c r="C19" i="28" s="1"/>
  <c r="G17" i="31"/>
  <c r="C17" i="30" s="1"/>
  <c r="G17" i="30" s="1"/>
  <c r="H17" i="30" s="1"/>
  <c r="A36" i="60"/>
  <c r="A18" i="60"/>
  <c r="H11" i="24"/>
  <c r="G28" i="24" s="1"/>
  <c r="A17" i="24"/>
  <c r="A35" i="24"/>
  <c r="A16" i="8"/>
  <c r="A34" i="26"/>
  <c r="A15" i="26"/>
  <c r="G53" i="29"/>
  <c r="G48" i="60"/>
  <c r="H45" i="30" s="1"/>
  <c r="F46" i="60"/>
  <c r="G48" i="29"/>
  <c r="K11" i="16"/>
  <c r="K28" i="16" s="1"/>
  <c r="G50" i="29"/>
  <c r="E23" i="28" s="1"/>
  <c r="G56" i="29"/>
  <c r="G57" i="29"/>
  <c r="D15" i="10"/>
  <c r="E15" i="10" s="1"/>
  <c r="A14" i="10"/>
  <c r="D17" i="10"/>
  <c r="E17" i="10" s="1"/>
  <c r="C17" i="6" s="1"/>
  <c r="G55" i="29"/>
  <c r="E26" i="28" s="1"/>
  <c r="A17" i="16"/>
  <c r="A35" i="16"/>
  <c r="G46" i="29"/>
  <c r="E22" i="28" s="1"/>
  <c r="A15" i="9"/>
  <c r="D16" i="9" s="1"/>
  <c r="E16" i="9" s="1"/>
  <c r="C16" i="5" s="1"/>
  <c r="G51" i="29"/>
  <c r="G49" i="29"/>
  <c r="G52" i="29"/>
  <c r="E24" i="28" s="1"/>
  <c r="G58" i="29"/>
  <c r="A42" i="20" l="1"/>
  <c r="N43" i="20"/>
  <c r="A47" i="21"/>
  <c r="N48" i="21"/>
  <c r="N47" i="19"/>
  <c r="A46" i="19"/>
  <c r="C18" i="3"/>
  <c r="D19" i="7"/>
  <c r="E19" i="7" s="1"/>
  <c r="C19" i="3" s="1"/>
  <c r="D19" i="10"/>
  <c r="E19" i="10" s="1"/>
  <c r="C19" i="6" s="1"/>
  <c r="D19" i="9"/>
  <c r="E19" i="9" s="1"/>
  <c r="C19" i="5" s="1"/>
  <c r="D19" i="8"/>
  <c r="E19" i="8" s="1"/>
  <c r="C19" i="4" s="1"/>
  <c r="O45" i="17"/>
  <c r="N44" i="17"/>
  <c r="A45" i="17"/>
  <c r="L20" i="30"/>
  <c r="A21" i="30"/>
  <c r="K11" i="60"/>
  <c r="K28" i="60" s="1"/>
  <c r="G40" i="29"/>
  <c r="G45" i="29"/>
  <c r="E51" i="30"/>
  <c r="G34" i="29"/>
  <c r="E67" i="29"/>
  <c r="G41" i="29"/>
  <c r="G43" i="29"/>
  <c r="G44" i="29"/>
  <c r="G51" i="30"/>
  <c r="G39" i="29"/>
  <c r="G32" i="29"/>
  <c r="G33" i="29"/>
  <c r="E19" i="28" s="1"/>
  <c r="G42" i="29"/>
  <c r="C51" i="30"/>
  <c r="A35" i="60"/>
  <c r="A17" i="60"/>
  <c r="I11" i="24"/>
  <c r="I28" i="24" s="1"/>
  <c r="A16" i="24"/>
  <c r="A34" i="24"/>
  <c r="A14" i="26"/>
  <c r="A32" i="26" s="1"/>
  <c r="A33" i="26"/>
  <c r="J28" i="16"/>
  <c r="C15" i="15"/>
  <c r="C32" i="15" s="1"/>
  <c r="A15" i="8"/>
  <c r="D16" i="8" s="1"/>
  <c r="E16" i="8" s="1"/>
  <c r="C16" i="4" s="1"/>
  <c r="G30" i="29"/>
  <c r="C15" i="6"/>
  <c r="A16" i="16"/>
  <c r="A34" i="16"/>
  <c r="F48" i="60"/>
  <c r="H46" i="30" s="1"/>
  <c r="E46" i="60"/>
  <c r="D15" i="9"/>
  <c r="E15" i="9" s="1"/>
  <c r="A14" i="9"/>
  <c r="D17" i="9"/>
  <c r="E17" i="9" s="1"/>
  <c r="C17" i="5" s="1"/>
  <c r="G61" i="29"/>
  <c r="A46" i="21" l="1"/>
  <c r="N47" i="21"/>
  <c r="N46" i="19"/>
  <c r="A45" i="19"/>
  <c r="A41" i="20"/>
  <c r="N42" i="20"/>
  <c r="D20" i="10"/>
  <c r="E20" i="10" s="1"/>
  <c r="D20" i="7"/>
  <c r="E20" i="7" s="1"/>
  <c r="C20" i="3" s="1"/>
  <c r="D20" i="9"/>
  <c r="E20" i="9" s="1"/>
  <c r="C20" i="5" s="1"/>
  <c r="D20" i="8"/>
  <c r="E20" i="8" s="1"/>
  <c r="C20" i="4" s="1"/>
  <c r="N43" i="17"/>
  <c r="O44" i="17"/>
  <c r="A44" i="17"/>
  <c r="L21" i="30"/>
  <c r="A22" i="30"/>
  <c r="J28" i="60"/>
  <c r="H28" i="24"/>
  <c r="A16" i="60"/>
  <c r="A34" i="60"/>
  <c r="A15" i="24"/>
  <c r="A33" i="24"/>
  <c r="A14" i="8"/>
  <c r="D15" i="8"/>
  <c r="E15" i="8" s="1"/>
  <c r="D17" i="8"/>
  <c r="E17" i="8" s="1"/>
  <c r="C17" i="4" s="1"/>
  <c r="E48" i="60"/>
  <c r="H47" i="30" s="1"/>
  <c r="D46" i="60"/>
  <c r="A33" i="16"/>
  <c r="A15" i="16"/>
  <c r="C15" i="5"/>
  <c r="G62" i="29"/>
  <c r="E18" i="28"/>
  <c r="N45" i="19" l="1"/>
  <c r="A44" i="19"/>
  <c r="K47" i="20"/>
  <c r="K42" i="20"/>
  <c r="J44" i="20"/>
  <c r="K57" i="20"/>
  <c r="K48" i="20"/>
  <c r="K43" i="20"/>
  <c r="K51" i="20"/>
  <c r="J57" i="20"/>
  <c r="J46" i="20"/>
  <c r="K49" i="20"/>
  <c r="J45" i="20"/>
  <c r="J52" i="20"/>
  <c r="J43" i="20"/>
  <c r="J53" i="20"/>
  <c r="J42" i="20"/>
  <c r="K44" i="20"/>
  <c r="J48" i="20"/>
  <c r="K45" i="20"/>
  <c r="K53" i="20"/>
  <c r="J47" i="20"/>
  <c r="K50" i="20"/>
  <c r="K52" i="20"/>
  <c r="J49" i="20"/>
  <c r="K56" i="20"/>
  <c r="K46" i="20"/>
  <c r="J50" i="20"/>
  <c r="J51" i="20"/>
  <c r="A40" i="20"/>
  <c r="N41" i="20"/>
  <c r="N46" i="21"/>
  <c r="A45" i="21"/>
  <c r="D21" i="7"/>
  <c r="E21" i="7" s="1"/>
  <c r="C21" i="3" s="1"/>
  <c r="D21" i="10"/>
  <c r="E21" i="10" s="1"/>
  <c r="C21" i="6" s="1"/>
  <c r="D21" i="9"/>
  <c r="E21" i="9" s="1"/>
  <c r="D21" i="8"/>
  <c r="E21" i="8" s="1"/>
  <c r="C21" i="4" s="1"/>
  <c r="C20" i="6"/>
  <c r="O43" i="17"/>
  <c r="A43" i="17"/>
  <c r="N42" i="17"/>
  <c r="L22" i="30"/>
  <c r="A23" i="30"/>
  <c r="A33" i="60"/>
  <c r="A15" i="60"/>
  <c r="A14" i="24"/>
  <c r="A31" i="24" s="1"/>
  <c r="A32" i="24"/>
  <c r="C15" i="4"/>
  <c r="C46" i="60"/>
  <c r="C48" i="60" s="1"/>
  <c r="H49" i="30" s="1"/>
  <c r="D48" i="60"/>
  <c r="H48" i="30" s="1"/>
  <c r="G63" i="29"/>
  <c r="A14" i="16"/>
  <c r="A31" i="16" s="1"/>
  <c r="A32" i="16"/>
  <c r="J56" i="20" l="1"/>
  <c r="N40" i="20"/>
  <c r="A39" i="20"/>
  <c r="N44" i="19"/>
  <c r="A43" i="19"/>
  <c r="A44" i="21"/>
  <c r="N45" i="21"/>
  <c r="C21" i="5"/>
  <c r="D22" i="7"/>
  <c r="E22" i="7" s="1"/>
  <c r="D22" i="10"/>
  <c r="E22" i="10" s="1"/>
  <c r="C22" i="6" s="1"/>
  <c r="D22" i="9"/>
  <c r="E22" i="9" s="1"/>
  <c r="C22" i="5" s="1"/>
  <c r="D22" i="8"/>
  <c r="E22" i="8" s="1"/>
  <c r="O42" i="17"/>
  <c r="A42" i="17"/>
  <c r="N41" i="17"/>
  <c r="L23" i="30"/>
  <c r="A24" i="30"/>
  <c r="H51" i="30"/>
  <c r="A14" i="60"/>
  <c r="A31" i="60" s="1"/>
  <c r="A32" i="60"/>
  <c r="G65" i="29"/>
  <c r="G68" i="29"/>
  <c r="G69" i="29" s="1"/>
  <c r="E31" i="28" s="1"/>
  <c r="G64" i="29"/>
  <c r="E27" i="28" s="1"/>
  <c r="E29" i="28" s="1"/>
  <c r="N43" i="19" l="1"/>
  <c r="A42" i="19"/>
  <c r="A38" i="20"/>
  <c r="N39" i="20"/>
  <c r="N44" i="21"/>
  <c r="A43" i="21"/>
  <c r="D23" i="7"/>
  <c r="E23" i="7" s="1"/>
  <c r="C23" i="3" s="1"/>
  <c r="D23" i="10"/>
  <c r="E23" i="10" s="1"/>
  <c r="C23" i="6" s="1"/>
  <c r="C26" i="6" s="1"/>
  <c r="D23" i="9"/>
  <c r="E23" i="9" s="1"/>
  <c r="C23" i="5" s="1"/>
  <c r="C26" i="5" s="1"/>
  <c r="D23" i="8"/>
  <c r="E23" i="8" s="1"/>
  <c r="C23" i="4" s="1"/>
  <c r="C22" i="3"/>
  <c r="C22" i="4"/>
  <c r="O41" i="17"/>
  <c r="L56" i="17" s="1"/>
  <c r="A41" i="17"/>
  <c r="N40" i="17"/>
  <c r="L24" i="30"/>
  <c r="A25" i="30"/>
  <c r="E33" i="28"/>
  <c r="E41" i="28" s="1"/>
  <c r="C14" i="27" s="1"/>
  <c r="G67" i="29"/>
  <c r="A37" i="20" l="1"/>
  <c r="N38" i="20"/>
  <c r="N43" i="21"/>
  <c r="A42" i="21"/>
  <c r="N42" i="19"/>
  <c r="A41" i="19"/>
  <c r="K48" i="21"/>
  <c r="K58" i="21"/>
  <c r="K59" i="21"/>
  <c r="J52" i="21"/>
  <c r="K51" i="21"/>
  <c r="J46" i="21"/>
  <c r="J55" i="21"/>
  <c r="J54" i="21"/>
  <c r="K55" i="21"/>
  <c r="J47" i="21"/>
  <c r="J51" i="21"/>
  <c r="J50" i="21"/>
  <c r="K47" i="21"/>
  <c r="J48" i="21"/>
  <c r="J45" i="21"/>
  <c r="J59" i="21"/>
  <c r="K45" i="21"/>
  <c r="K54" i="21"/>
  <c r="J53" i="21"/>
  <c r="K44" i="21"/>
  <c r="K52" i="21"/>
  <c r="J44" i="21"/>
  <c r="K46" i="21"/>
  <c r="K50" i="21"/>
  <c r="K49" i="21"/>
  <c r="J49" i="21"/>
  <c r="K53" i="21"/>
  <c r="E26" i="7"/>
  <c r="E26" i="10"/>
  <c r="C26" i="4"/>
  <c r="E26" i="9"/>
  <c r="E26" i="8"/>
  <c r="C26" i="3"/>
  <c r="L44" i="17"/>
  <c r="L48" i="17"/>
  <c r="L52" i="17"/>
  <c r="L43" i="17"/>
  <c r="L47" i="17"/>
  <c r="L45" i="17"/>
  <c r="L49" i="17"/>
  <c r="L41" i="17"/>
  <c r="L42" i="17"/>
  <c r="L46" i="17"/>
  <c r="L50" i="17"/>
  <c r="L51" i="17"/>
  <c r="N39" i="17"/>
  <c r="A40" i="17"/>
  <c r="O40" i="17"/>
  <c r="L25" i="30"/>
  <c r="A26" i="30"/>
  <c r="A40" i="19" l="1"/>
  <c r="N41" i="19"/>
  <c r="N42" i="21"/>
  <c r="A41" i="21"/>
  <c r="H42" i="20"/>
  <c r="H46" i="20"/>
  <c r="I48" i="20"/>
  <c r="I57" i="20"/>
  <c r="I41" i="20"/>
  <c r="H44" i="20"/>
  <c r="H53" i="20"/>
  <c r="H38" i="20"/>
  <c r="I50" i="20"/>
  <c r="H43" i="20"/>
  <c r="I53" i="20"/>
  <c r="I38" i="20"/>
  <c r="I45" i="20"/>
  <c r="I42" i="20"/>
  <c r="I49" i="20"/>
  <c r="H39" i="20"/>
  <c r="H40" i="20"/>
  <c r="H45" i="20"/>
  <c r="H41" i="20"/>
  <c r="I40" i="20"/>
  <c r="I56" i="20"/>
  <c r="I44" i="20"/>
  <c r="I43" i="20"/>
  <c r="H51" i="20"/>
  <c r="I47" i="20"/>
  <c r="H57" i="20"/>
  <c r="H49" i="20"/>
  <c r="H52" i="20"/>
  <c r="H48" i="20"/>
  <c r="I46" i="20"/>
  <c r="I39" i="20"/>
  <c r="I51" i="20"/>
  <c r="H47" i="20"/>
  <c r="I52" i="20"/>
  <c r="H50" i="20"/>
  <c r="J58" i="21"/>
  <c r="J43" i="19"/>
  <c r="J57" i="19"/>
  <c r="K43" i="19"/>
  <c r="K53" i="19"/>
  <c r="J47" i="19"/>
  <c r="K52" i="19"/>
  <c r="K42" i="19"/>
  <c r="K51" i="19"/>
  <c r="J44" i="19"/>
  <c r="K46" i="19"/>
  <c r="K45" i="19"/>
  <c r="J52" i="19"/>
  <c r="K44" i="19"/>
  <c r="J53" i="19"/>
  <c r="K50" i="19"/>
  <c r="K49" i="19"/>
  <c r="J42" i="19"/>
  <c r="K56" i="19"/>
  <c r="J49" i="19"/>
  <c r="K48" i="19"/>
  <c r="J45" i="19"/>
  <c r="J48" i="19"/>
  <c r="J46" i="19"/>
  <c r="J50" i="19"/>
  <c r="K47" i="19"/>
  <c r="K57" i="19"/>
  <c r="J51" i="19"/>
  <c r="N37" i="20"/>
  <c r="A36" i="20"/>
  <c r="L55" i="17"/>
  <c r="A39" i="17"/>
  <c r="O39" i="17"/>
  <c r="N38" i="17"/>
  <c r="L26" i="30"/>
  <c r="A27" i="30"/>
  <c r="A35" i="20" l="1"/>
  <c r="N36" i="20"/>
  <c r="A40" i="21"/>
  <c r="N41" i="21"/>
  <c r="H56" i="20"/>
  <c r="J56" i="19"/>
  <c r="A39" i="19"/>
  <c r="N40" i="19"/>
  <c r="A38" i="17"/>
  <c r="O38" i="17"/>
  <c r="N37" i="17"/>
  <c r="L27" i="30"/>
  <c r="A28" i="30"/>
  <c r="A39" i="21" l="1"/>
  <c r="N40" i="21"/>
  <c r="N39" i="19"/>
  <c r="A38" i="19"/>
  <c r="N35" i="20"/>
  <c r="A34" i="20"/>
  <c r="A37" i="17"/>
  <c r="O37" i="17"/>
  <c r="K56" i="17" s="1"/>
  <c r="N36" i="17"/>
  <c r="L28" i="30"/>
  <c r="A29" i="30"/>
  <c r="N38" i="19" l="1"/>
  <c r="A37" i="19"/>
  <c r="N34" i="20"/>
  <c r="A33" i="20"/>
  <c r="H45" i="21"/>
  <c r="H41" i="21"/>
  <c r="H47" i="21"/>
  <c r="H53" i="21"/>
  <c r="I45" i="21"/>
  <c r="H50" i="21"/>
  <c r="I47" i="21"/>
  <c r="H46" i="21"/>
  <c r="H48" i="21"/>
  <c r="I53" i="21"/>
  <c r="H54" i="21"/>
  <c r="H52" i="21"/>
  <c r="H55" i="21"/>
  <c r="I49" i="21"/>
  <c r="I51" i="21"/>
  <c r="I58" i="21"/>
  <c r="I41" i="21"/>
  <c r="I50" i="21"/>
  <c r="H43" i="21"/>
  <c r="I55" i="21"/>
  <c r="I59" i="21"/>
  <c r="H49" i="21"/>
  <c r="I42" i="21"/>
  <c r="I54" i="21"/>
  <c r="I43" i="21"/>
  <c r="I48" i="21"/>
  <c r="H51" i="21"/>
  <c r="H58" i="21" s="1"/>
  <c r="I44" i="21"/>
  <c r="H44" i="21"/>
  <c r="I46" i="21"/>
  <c r="H42" i="21"/>
  <c r="I40" i="21"/>
  <c r="H59" i="21"/>
  <c r="I52" i="21"/>
  <c r="H40" i="21"/>
  <c r="A38" i="21"/>
  <c r="N39" i="21"/>
  <c r="K40" i="17"/>
  <c r="K44" i="17"/>
  <c r="K48" i="17"/>
  <c r="K52" i="17"/>
  <c r="K43" i="17"/>
  <c r="K51" i="17"/>
  <c r="K41" i="17"/>
  <c r="K45" i="17"/>
  <c r="K49" i="17"/>
  <c r="K37" i="17"/>
  <c r="K39" i="17"/>
  <c r="K38" i="17"/>
  <c r="K42" i="17"/>
  <c r="K46" i="17"/>
  <c r="K50" i="17"/>
  <c r="K47" i="17"/>
  <c r="A36" i="17"/>
  <c r="O36" i="17"/>
  <c r="N35" i="17"/>
  <c r="L29" i="30"/>
  <c r="A30" i="30"/>
  <c r="A37" i="21" l="1"/>
  <c r="N38" i="21"/>
  <c r="A32" i="20"/>
  <c r="N33" i="20"/>
  <c r="G48" i="20"/>
  <c r="G41" i="20"/>
  <c r="F46" i="20"/>
  <c r="G51" i="20"/>
  <c r="G38" i="20"/>
  <c r="F53" i="20"/>
  <c r="F57" i="20"/>
  <c r="G36" i="20"/>
  <c r="G34" i="20"/>
  <c r="F37" i="20"/>
  <c r="F45" i="20"/>
  <c r="G42" i="20"/>
  <c r="F36" i="20"/>
  <c r="G45" i="20"/>
  <c r="G46" i="20"/>
  <c r="F35" i="20"/>
  <c r="F38" i="20"/>
  <c r="G52" i="20"/>
  <c r="G40" i="20"/>
  <c r="G49" i="20"/>
  <c r="F47" i="20"/>
  <c r="G44" i="20"/>
  <c r="F43" i="20"/>
  <c r="F42" i="20"/>
  <c r="F41" i="20"/>
  <c r="F50" i="20"/>
  <c r="G53" i="20"/>
  <c r="G35" i="20"/>
  <c r="G56" i="20"/>
  <c r="D28" i="18" s="1"/>
  <c r="D30" i="18" s="1"/>
  <c r="F48" i="20"/>
  <c r="G43" i="20"/>
  <c r="F51" i="20"/>
  <c r="G47" i="20"/>
  <c r="F40" i="20"/>
  <c r="F49" i="20"/>
  <c r="F44" i="20"/>
  <c r="G50" i="20"/>
  <c r="G57" i="20"/>
  <c r="F34" i="20"/>
  <c r="F52" i="20"/>
  <c r="G39" i="20"/>
  <c r="G37" i="20"/>
  <c r="F39" i="20"/>
  <c r="A36" i="19"/>
  <c r="N37" i="19"/>
  <c r="I47" i="19"/>
  <c r="H41" i="19"/>
  <c r="H48" i="19"/>
  <c r="I43" i="19"/>
  <c r="I56" i="19"/>
  <c r="I53" i="19"/>
  <c r="H50" i="19"/>
  <c r="I48" i="19"/>
  <c r="I46" i="19"/>
  <c r="I38" i="19"/>
  <c r="H38" i="19"/>
  <c r="I45" i="19"/>
  <c r="H42" i="19"/>
  <c r="I42" i="19"/>
  <c r="I39" i="19"/>
  <c r="H44" i="19"/>
  <c r="H39" i="19"/>
  <c r="H49" i="19"/>
  <c r="H40" i="19"/>
  <c r="I49" i="19"/>
  <c r="I57" i="19"/>
  <c r="H51" i="19"/>
  <c r="H57" i="19"/>
  <c r="H47" i="19"/>
  <c r="I41" i="19"/>
  <c r="H45" i="19"/>
  <c r="I40" i="19"/>
  <c r="I51" i="19"/>
  <c r="H53" i="19"/>
  <c r="H43" i="19"/>
  <c r="I52" i="19"/>
  <c r="I44" i="19"/>
  <c r="I50" i="19"/>
  <c r="H52" i="19"/>
  <c r="H46" i="19"/>
  <c r="K55" i="17"/>
  <c r="A35" i="17"/>
  <c r="N34" i="17"/>
  <c r="O35" i="17"/>
  <c r="L30" i="30"/>
  <c r="A31" i="30"/>
  <c r="H56" i="19" l="1"/>
  <c r="A35" i="19"/>
  <c r="N36" i="19"/>
  <c r="A31" i="20"/>
  <c r="N32" i="20"/>
  <c r="F56" i="20"/>
  <c r="A36" i="21"/>
  <c r="N37" i="21"/>
  <c r="O34" i="17"/>
  <c r="N33" i="17"/>
  <c r="A34" i="17"/>
  <c r="L31" i="30"/>
  <c r="A32" i="30"/>
  <c r="D38" i="48"/>
  <c r="D23" i="48"/>
  <c r="D24" i="48"/>
  <c r="D26" i="48"/>
  <c r="D25" i="48"/>
  <c r="C25" i="48"/>
  <c r="D27" i="48"/>
  <c r="C26" i="48"/>
  <c r="D28" i="48"/>
  <c r="C27" i="48"/>
  <c r="D29" i="48"/>
  <c r="C28" i="48"/>
  <c r="C30" i="48"/>
  <c r="D31" i="48"/>
  <c r="C29" i="48"/>
  <c r="D32" i="48"/>
  <c r="D33" i="48"/>
  <c r="D34" i="48"/>
  <c r="C33" i="48"/>
  <c r="D35" i="48"/>
  <c r="C34" i="48"/>
  <c r="D36" i="48"/>
  <c r="D37" i="48"/>
  <c r="C36" i="48"/>
  <c r="C37" i="48"/>
  <c r="N31" i="20" l="1"/>
  <c r="A30" i="20"/>
  <c r="N36" i="21"/>
  <c r="A35" i="21"/>
  <c r="N35" i="19"/>
  <c r="A34" i="19"/>
  <c r="E36" i="48"/>
  <c r="G36" i="48" s="1"/>
  <c r="E28" i="48"/>
  <c r="G28" i="48" s="1"/>
  <c r="N32" i="17"/>
  <c r="O33" i="17"/>
  <c r="J56" i="17" s="1"/>
  <c r="A33" i="17"/>
  <c r="L32" i="30"/>
  <c r="A33" i="30"/>
  <c r="E34" i="48"/>
  <c r="G34" i="48" s="1"/>
  <c r="E26" i="48"/>
  <c r="G26" i="48" s="1"/>
  <c r="E27" i="48"/>
  <c r="G27" i="48" s="1"/>
  <c r="C32" i="48"/>
  <c r="E32" i="48" s="1"/>
  <c r="G32" i="48" s="1"/>
  <c r="E29" i="48"/>
  <c r="G29" i="48" s="1"/>
  <c r="C24" i="48"/>
  <c r="E24" i="48" s="1"/>
  <c r="G24" i="48" s="1"/>
  <c r="C23" i="48"/>
  <c r="E33" i="48"/>
  <c r="G33" i="48" s="1"/>
  <c r="C31" i="48"/>
  <c r="E31" i="48" s="1"/>
  <c r="G31" i="48" s="1"/>
  <c r="D30" i="48"/>
  <c r="D41" i="48" s="1"/>
  <c r="C38" i="48"/>
  <c r="E38" i="48" s="1"/>
  <c r="G38" i="48" s="1"/>
  <c r="D51" i="23"/>
  <c r="E51" i="23"/>
  <c r="C51" i="22" s="1"/>
  <c r="E37" i="48"/>
  <c r="G37" i="48" s="1"/>
  <c r="C35" i="48"/>
  <c r="E35" i="48" s="1"/>
  <c r="G35" i="48" s="1"/>
  <c r="E25" i="48"/>
  <c r="G25" i="48" s="1"/>
  <c r="N35" i="21" l="1"/>
  <c r="A34" i="21"/>
  <c r="F52" i="21"/>
  <c r="G36" i="21"/>
  <c r="G37" i="21"/>
  <c r="F40" i="21"/>
  <c r="G44" i="21"/>
  <c r="G50" i="21"/>
  <c r="F51" i="21"/>
  <c r="F59" i="21"/>
  <c r="G43" i="21"/>
  <c r="F47" i="21"/>
  <c r="F46" i="21"/>
  <c r="F45" i="21"/>
  <c r="F36" i="21"/>
  <c r="G51" i="21"/>
  <c r="G58" i="21"/>
  <c r="E28" i="18" s="1"/>
  <c r="E30" i="18" s="1"/>
  <c r="F43" i="21"/>
  <c r="G42" i="21"/>
  <c r="F42" i="21"/>
  <c r="F37" i="21"/>
  <c r="G45" i="21"/>
  <c r="G39" i="21"/>
  <c r="G53" i="21"/>
  <c r="G47" i="21"/>
  <c r="G40" i="21"/>
  <c r="G38" i="21"/>
  <c r="G54" i="21"/>
  <c r="F50" i="21"/>
  <c r="F48" i="21"/>
  <c r="F55" i="21"/>
  <c r="F58" i="21" s="1"/>
  <c r="G52" i="21"/>
  <c r="G48" i="21"/>
  <c r="G41" i="21"/>
  <c r="G46" i="21"/>
  <c r="G49" i="21"/>
  <c r="F44" i="21"/>
  <c r="F54" i="21"/>
  <c r="G55" i="21"/>
  <c r="F49" i="21"/>
  <c r="F41" i="21"/>
  <c r="G59" i="21"/>
  <c r="F53" i="21"/>
  <c r="F38" i="21"/>
  <c r="F39" i="21"/>
  <c r="N34" i="19"/>
  <c r="A33" i="19"/>
  <c r="A29" i="20"/>
  <c r="N30" i="20"/>
  <c r="J36" i="17"/>
  <c r="J40" i="17"/>
  <c r="J44" i="17"/>
  <c r="J48" i="17"/>
  <c r="J52" i="17"/>
  <c r="J43" i="17"/>
  <c r="J37" i="17"/>
  <c r="J41" i="17"/>
  <c r="J45" i="17"/>
  <c r="J49" i="17"/>
  <c r="J33" i="17"/>
  <c r="J35" i="17"/>
  <c r="J47" i="17"/>
  <c r="J34" i="17"/>
  <c r="J38" i="17"/>
  <c r="J42" i="17"/>
  <c r="J46" i="17"/>
  <c r="J50" i="17"/>
  <c r="J39" i="17"/>
  <c r="J51" i="17"/>
  <c r="A32" i="17"/>
  <c r="N31" i="17"/>
  <c r="O32" i="17"/>
  <c r="L33" i="30"/>
  <c r="A34" i="30"/>
  <c r="E30" i="48"/>
  <c r="G30" i="48" s="1"/>
  <c r="E51" i="22"/>
  <c r="C54" i="22"/>
  <c r="C56" i="22"/>
  <c r="E56" i="22" s="1"/>
  <c r="D14" i="27" s="1"/>
  <c r="E23" i="48"/>
  <c r="C41" i="48"/>
  <c r="A28" i="20" l="1"/>
  <c r="N29" i="20"/>
  <c r="N33" i="19"/>
  <c r="A32" i="19"/>
  <c r="A33" i="21"/>
  <c r="N34" i="21"/>
  <c r="G43" i="19"/>
  <c r="G36" i="19"/>
  <c r="F51" i="19"/>
  <c r="F39" i="19"/>
  <c r="F57" i="19"/>
  <c r="F46" i="19"/>
  <c r="F48" i="19"/>
  <c r="G45" i="19"/>
  <c r="F34" i="19"/>
  <c r="G42" i="19"/>
  <c r="F38" i="19"/>
  <c r="G35" i="19"/>
  <c r="G46" i="19"/>
  <c r="G52" i="19"/>
  <c r="F37" i="19"/>
  <c r="G53" i="19"/>
  <c r="G34" i="19"/>
  <c r="G56" i="19"/>
  <c r="C28" i="18" s="1"/>
  <c r="F45" i="19"/>
  <c r="F36" i="19"/>
  <c r="F52" i="19"/>
  <c r="F41" i="19"/>
  <c r="G39" i="19"/>
  <c r="F35" i="19"/>
  <c r="G37" i="19"/>
  <c r="G51" i="19"/>
  <c r="F53" i="19"/>
  <c r="G49" i="19"/>
  <c r="F44" i="19"/>
  <c r="G38" i="19"/>
  <c r="G57" i="19"/>
  <c r="F47" i="19"/>
  <c r="G50" i="19"/>
  <c r="F49" i="19"/>
  <c r="F56" i="19" s="1"/>
  <c r="G44" i="19"/>
  <c r="F43" i="19"/>
  <c r="G40" i="19"/>
  <c r="G48" i="19"/>
  <c r="F50" i="19"/>
  <c r="F40" i="19"/>
  <c r="F42" i="19"/>
  <c r="G41" i="19"/>
  <c r="G47" i="19"/>
  <c r="C59" i="22"/>
  <c r="J55" i="17"/>
  <c r="L58" i="17" s="1"/>
  <c r="N30" i="17"/>
  <c r="O31" i="17"/>
  <c r="A31" i="17"/>
  <c r="L34" i="30"/>
  <c r="A35" i="30"/>
  <c r="G23" i="48"/>
  <c r="E41" i="48"/>
  <c r="D18" i="27"/>
  <c r="E18" i="27" s="1"/>
  <c r="D17" i="27"/>
  <c r="E17" i="27" s="1"/>
  <c r="D20" i="27"/>
  <c r="E20" i="27" s="1"/>
  <c r="C21" i="1" s="1"/>
  <c r="E14" i="27"/>
  <c r="C19" i="1" s="1"/>
  <c r="E54" i="22"/>
  <c r="E59" i="22"/>
  <c r="L25" i="58"/>
  <c r="D30" i="58" s="1"/>
  <c r="D32" i="58"/>
  <c r="F28" i="18" l="1"/>
  <c r="C30" i="18"/>
  <c r="N32" i="19"/>
  <c r="A31" i="19"/>
  <c r="A32" i="21"/>
  <c r="N33" i="21"/>
  <c r="N28" i="20"/>
  <c r="A27" i="20"/>
  <c r="I18" i="15"/>
  <c r="O30" i="17"/>
  <c r="A30" i="17"/>
  <c r="N29" i="17"/>
  <c r="L35" i="30"/>
  <c r="A36" i="30"/>
  <c r="C15" i="1"/>
  <c r="B43" i="58"/>
  <c r="G41" i="48"/>
  <c r="N27" i="20" l="1"/>
  <c r="A26" i="20"/>
  <c r="A30" i="19"/>
  <c r="N31" i="19"/>
  <c r="N32" i="21"/>
  <c r="A31" i="21"/>
  <c r="F30" i="18"/>
  <c r="I19" i="15"/>
  <c r="E32" i="15"/>
  <c r="E34" i="15"/>
  <c r="E37" i="15"/>
  <c r="E39" i="15"/>
  <c r="E33" i="15"/>
  <c r="E30" i="15"/>
  <c r="E35" i="15"/>
  <c r="E38" i="15"/>
  <c r="E31" i="15"/>
  <c r="E36" i="15"/>
  <c r="O29" i="17"/>
  <c r="N28" i="17"/>
  <c r="A29" i="17"/>
  <c r="L36" i="30"/>
  <c r="A37" i="30"/>
  <c r="D34" i="58"/>
  <c r="A29" i="19" l="1"/>
  <c r="N30" i="19"/>
  <c r="N31" i="21"/>
  <c r="A30" i="21"/>
  <c r="N26" i="20"/>
  <c r="A25" i="20"/>
  <c r="F33" i="15"/>
  <c r="G33" i="15" s="1"/>
  <c r="E17" i="3" s="1"/>
  <c r="F37" i="15"/>
  <c r="G37" i="15" s="1"/>
  <c r="E21" i="3" s="1"/>
  <c r="F32" i="15"/>
  <c r="G32" i="15" s="1"/>
  <c r="E16" i="3" s="1"/>
  <c r="F34" i="15"/>
  <c r="F35" i="15"/>
  <c r="G35" i="15" s="1"/>
  <c r="E19" i="3" s="1"/>
  <c r="F36" i="15"/>
  <c r="G36" i="15" s="1"/>
  <c r="E20" i="3" s="1"/>
  <c r="F38" i="15"/>
  <c r="G38" i="15" s="1"/>
  <c r="E22" i="3" s="1"/>
  <c r="F39" i="15"/>
  <c r="G39" i="15" s="1"/>
  <c r="E23" i="3" s="1"/>
  <c r="F30" i="15"/>
  <c r="G30" i="15" s="1"/>
  <c r="E14" i="3" s="1"/>
  <c r="F31" i="15"/>
  <c r="G31" i="15" s="1"/>
  <c r="E15" i="3" s="1"/>
  <c r="G34" i="15"/>
  <c r="E18" i="3" s="1"/>
  <c r="E18" i="5" s="1"/>
  <c r="F18" i="5" s="1"/>
  <c r="H18" i="5" s="1"/>
  <c r="A28" i="17"/>
  <c r="O28" i="17"/>
  <c r="N27" i="17"/>
  <c r="L37" i="30"/>
  <c r="A38" i="30"/>
  <c r="G38" i="46"/>
  <c r="E15" i="5" l="1"/>
  <c r="F15" i="5" s="1"/>
  <c r="H15" i="5" s="1"/>
  <c r="E15" i="6"/>
  <c r="F15" i="6" s="1"/>
  <c r="H15" i="6" s="1"/>
  <c r="E14" i="5"/>
  <c r="F14" i="5" s="1"/>
  <c r="H14" i="5" s="1"/>
  <c r="F14" i="3"/>
  <c r="H14" i="3" s="1"/>
  <c r="E14" i="4"/>
  <c r="F14" i="4" s="1"/>
  <c r="H14" i="4" s="1"/>
  <c r="E14" i="6"/>
  <c r="F14" i="6" s="1"/>
  <c r="H14" i="6" s="1"/>
  <c r="F17" i="3"/>
  <c r="H17" i="3" s="1"/>
  <c r="E17" i="4"/>
  <c r="F17" i="4" s="1"/>
  <c r="H17" i="4" s="1"/>
  <c r="E17" i="5"/>
  <c r="F17" i="5" s="1"/>
  <c r="H17" i="5" s="1"/>
  <c r="E17" i="6"/>
  <c r="F17" i="6" s="1"/>
  <c r="H17" i="6" s="1"/>
  <c r="E21" i="6"/>
  <c r="F21" i="6" s="1"/>
  <c r="H21" i="6" s="1"/>
  <c r="E21" i="4"/>
  <c r="F21" i="4" s="1"/>
  <c r="H21" i="4" s="1"/>
  <c r="F21" i="3"/>
  <c r="H21" i="3" s="1"/>
  <c r="E21" i="5"/>
  <c r="F21" i="5" s="1"/>
  <c r="H21" i="5" s="1"/>
  <c r="E19" i="6"/>
  <c r="F19" i="6" s="1"/>
  <c r="H19" i="6" s="1"/>
  <c r="E19" i="4"/>
  <c r="F19" i="4" s="1"/>
  <c r="H19" i="4" s="1"/>
  <c r="F19" i="3"/>
  <c r="H19" i="3" s="1"/>
  <c r="E19" i="5"/>
  <c r="F19" i="5" s="1"/>
  <c r="H19" i="5" s="1"/>
  <c r="E23" i="4"/>
  <c r="F23" i="4" s="1"/>
  <c r="H23" i="4" s="1"/>
  <c r="F23" i="3"/>
  <c r="H23" i="3" s="1"/>
  <c r="E23" i="6"/>
  <c r="F23" i="6" s="1"/>
  <c r="H23" i="6" s="1"/>
  <c r="E23" i="5"/>
  <c r="F23" i="5" s="1"/>
  <c r="H23" i="5" s="1"/>
  <c r="E20" i="5"/>
  <c r="F20" i="5" s="1"/>
  <c r="H20" i="5" s="1"/>
  <c r="F20" i="3"/>
  <c r="H20" i="3" s="1"/>
  <c r="E20" i="6"/>
  <c r="F20" i="6" s="1"/>
  <c r="H20" i="6" s="1"/>
  <c r="E20" i="4"/>
  <c r="F20" i="4" s="1"/>
  <c r="H20" i="4" s="1"/>
  <c r="E22" i="6"/>
  <c r="F22" i="6" s="1"/>
  <c r="H22" i="6" s="1"/>
  <c r="E22" i="5"/>
  <c r="F22" i="5" s="1"/>
  <c r="H22" i="5" s="1"/>
  <c r="E22" i="4"/>
  <c r="F22" i="4" s="1"/>
  <c r="H22" i="4" s="1"/>
  <c r="F22" i="3"/>
  <c r="H22" i="3" s="1"/>
  <c r="E16" i="4"/>
  <c r="F16" i="4" s="1"/>
  <c r="H16" i="4" s="1"/>
  <c r="E16" i="5"/>
  <c r="F16" i="5" s="1"/>
  <c r="H16" i="5" s="1"/>
  <c r="E16" i="6"/>
  <c r="F16" i="6" s="1"/>
  <c r="H16" i="6" s="1"/>
  <c r="F16" i="3"/>
  <c r="H16" i="3" s="1"/>
  <c r="N30" i="21"/>
  <c r="A29" i="21"/>
  <c r="N29" i="19"/>
  <c r="A28" i="19"/>
  <c r="F15" i="3"/>
  <c r="H15" i="3" s="1"/>
  <c r="F18" i="3"/>
  <c r="H18" i="3" s="1"/>
  <c r="E18" i="4"/>
  <c r="F18" i="4" s="1"/>
  <c r="H18" i="4" s="1"/>
  <c r="E18" i="6"/>
  <c r="F18" i="6" s="1"/>
  <c r="H18" i="6" s="1"/>
  <c r="E15" i="4"/>
  <c r="F15" i="4" s="1"/>
  <c r="H15" i="4" s="1"/>
  <c r="A24" i="20"/>
  <c r="N25" i="20"/>
  <c r="N26" i="17"/>
  <c r="A27" i="17"/>
  <c r="O27" i="17"/>
  <c r="L38" i="30"/>
  <c r="A39" i="30"/>
  <c r="G42" i="46"/>
  <c r="E19" i="1" s="1"/>
  <c r="F26" i="3" l="1"/>
  <c r="H26" i="3" s="1"/>
  <c r="E14" i="2" s="1"/>
  <c r="N28" i="19"/>
  <c r="A27" i="19"/>
  <c r="F26" i="4"/>
  <c r="H26" i="4" s="1"/>
  <c r="E15" i="2" s="1"/>
  <c r="F26" i="6"/>
  <c r="H26" i="6" s="1"/>
  <c r="E17" i="2" s="1"/>
  <c r="N29" i="21"/>
  <c r="A28" i="21"/>
  <c r="A23" i="20"/>
  <c r="N24" i="20"/>
  <c r="F26" i="5"/>
  <c r="H26" i="5" s="1"/>
  <c r="E16" i="2" s="1"/>
  <c r="A26" i="17"/>
  <c r="N25" i="17"/>
  <c r="O26" i="17"/>
  <c r="L39" i="30"/>
  <c r="A40" i="30"/>
  <c r="E21" i="1"/>
  <c r="E15" i="1"/>
  <c r="N23" i="20" l="1"/>
  <c r="A22" i="20"/>
  <c r="E19" i="2"/>
  <c r="D19" i="1" s="1"/>
  <c r="F19" i="1" s="1"/>
  <c r="H19" i="1" s="1"/>
  <c r="N27" i="19"/>
  <c r="A26" i="19"/>
  <c r="A27" i="21"/>
  <c r="N28" i="21"/>
  <c r="A25" i="17"/>
  <c r="O25" i="17"/>
  <c r="N24" i="17"/>
  <c r="L40" i="30"/>
  <c r="A41" i="30"/>
  <c r="D15" i="1" l="1"/>
  <c r="F15" i="1" s="1"/>
  <c r="H15" i="1" s="1"/>
  <c r="D21" i="1"/>
  <c r="F21" i="1" s="1"/>
  <c r="H21" i="1" s="1"/>
  <c r="N27" i="21"/>
  <c r="A26" i="21"/>
  <c r="N22" i="20"/>
  <c r="A21" i="20"/>
  <c r="A25" i="19"/>
  <c r="N26" i="19"/>
  <c r="A24" i="17"/>
  <c r="N23" i="17"/>
  <c r="O24" i="17"/>
  <c r="L41" i="30"/>
  <c r="A42" i="30"/>
  <c r="N26" i="21" l="1"/>
  <c r="A25" i="21"/>
  <c r="A20" i="20"/>
  <c r="N21" i="20"/>
  <c r="A24" i="19"/>
  <c r="N25" i="19"/>
  <c r="A23" i="17"/>
  <c r="O23" i="17"/>
  <c r="N22" i="17"/>
  <c r="L42" i="30"/>
  <c r="A43" i="30"/>
  <c r="N20" i="20" l="1"/>
  <c r="A19" i="20"/>
  <c r="A24" i="21"/>
  <c r="N25" i="21"/>
  <c r="N24" i="19"/>
  <c r="A23" i="19"/>
  <c r="N21" i="17"/>
  <c r="O22" i="17"/>
  <c r="A22" i="17"/>
  <c r="L43" i="30"/>
  <c r="A44" i="30"/>
  <c r="A23" i="21" l="1"/>
  <c r="N24" i="21"/>
  <c r="N19" i="20"/>
  <c r="A18" i="20"/>
  <c r="A22" i="19"/>
  <c r="N23" i="19"/>
  <c r="A21" i="17"/>
  <c r="O21" i="17"/>
  <c r="N20" i="17"/>
  <c r="L44" i="30"/>
  <c r="A45" i="30"/>
  <c r="A17" i="20" l="1"/>
  <c r="N18" i="20"/>
  <c r="N22" i="19"/>
  <c r="A21" i="19"/>
  <c r="A22" i="21"/>
  <c r="N23" i="21"/>
  <c r="N19" i="17"/>
  <c r="O20" i="17"/>
  <c r="A20" i="17"/>
  <c r="L45" i="30"/>
  <c r="A46" i="30"/>
  <c r="L46" i="30" s="1"/>
  <c r="N21" i="19" l="1"/>
  <c r="A20" i="19"/>
  <c r="A21" i="21"/>
  <c r="N22" i="21"/>
  <c r="A16" i="20"/>
  <c r="N17" i="20"/>
  <c r="N18" i="17"/>
  <c r="O19" i="17"/>
  <c r="A19" i="17"/>
  <c r="A20" i="21" l="1"/>
  <c r="N21" i="21"/>
  <c r="A19" i="19"/>
  <c r="N20" i="19"/>
  <c r="N16" i="20"/>
  <c r="A15" i="20"/>
  <c r="A18" i="17"/>
  <c r="N17" i="17"/>
  <c r="O18" i="17"/>
  <c r="A18" i="19" l="1"/>
  <c r="N19" i="19"/>
  <c r="N15" i="20"/>
  <c r="A14" i="20"/>
  <c r="N14" i="20" s="1"/>
  <c r="A19" i="21"/>
  <c r="N20" i="21"/>
  <c r="A17" i="17"/>
  <c r="N16" i="17"/>
  <c r="O17" i="17"/>
  <c r="I56" i="17" s="1"/>
  <c r="E16" i="20" l="1"/>
  <c r="D41" i="20"/>
  <c r="E17" i="20"/>
  <c r="E18" i="20"/>
  <c r="E39" i="20"/>
  <c r="D24" i="20"/>
  <c r="D45" i="20"/>
  <c r="D27" i="20"/>
  <c r="E25" i="20"/>
  <c r="E38" i="20"/>
  <c r="E42" i="20"/>
  <c r="D39" i="20"/>
  <c r="D51" i="20"/>
  <c r="E29" i="20"/>
  <c r="D52" i="20"/>
  <c r="E37" i="20"/>
  <c r="E35" i="20"/>
  <c r="D35" i="20"/>
  <c r="D22" i="20"/>
  <c r="E52" i="20"/>
  <c r="E24" i="20"/>
  <c r="D37" i="20"/>
  <c r="D53" i="20"/>
  <c r="E15" i="20"/>
  <c r="E40" i="20"/>
  <c r="E44" i="20"/>
  <c r="E57" i="20"/>
  <c r="D14" i="20"/>
  <c r="D29" i="20"/>
  <c r="E34" i="20"/>
  <c r="D17" i="20"/>
  <c r="D42" i="20"/>
  <c r="E48" i="20"/>
  <c r="D43" i="20"/>
  <c r="E51" i="20"/>
  <c r="D36" i="20"/>
  <c r="D49" i="20"/>
  <c r="D40" i="20"/>
  <c r="E50" i="20"/>
  <c r="D47" i="20"/>
  <c r="D38" i="20"/>
  <c r="D32" i="20"/>
  <c r="E14" i="20"/>
  <c r="D28" i="20"/>
  <c r="D48" i="20"/>
  <c r="E21" i="20"/>
  <c r="E43" i="20"/>
  <c r="E53" i="20"/>
  <c r="D19" i="20"/>
  <c r="E22" i="20"/>
  <c r="D31" i="20"/>
  <c r="E41" i="20"/>
  <c r="D33" i="20"/>
  <c r="E36" i="20"/>
  <c r="D23" i="20"/>
  <c r="E47" i="20"/>
  <c r="E28" i="20"/>
  <c r="E56" i="20"/>
  <c r="D15" i="20"/>
  <c r="D16" i="20"/>
  <c r="D50" i="20"/>
  <c r="E19" i="20"/>
  <c r="D57" i="20"/>
  <c r="E27" i="20"/>
  <c r="E49" i="20"/>
  <c r="D26" i="20"/>
  <c r="E31" i="20"/>
  <c r="D25" i="20"/>
  <c r="D20" i="20"/>
  <c r="E20" i="20"/>
  <c r="E33" i="20"/>
  <c r="E32" i="20"/>
  <c r="D30" i="20"/>
  <c r="E26" i="20"/>
  <c r="D34" i="20"/>
  <c r="E45" i="20"/>
  <c r="E46" i="20"/>
  <c r="E23" i="20"/>
  <c r="D18" i="20"/>
  <c r="E30" i="20"/>
  <c r="D46" i="20"/>
  <c r="D44" i="20"/>
  <c r="D21" i="20"/>
  <c r="A18" i="21"/>
  <c r="N19" i="21"/>
  <c r="A17" i="19"/>
  <c r="N18" i="19"/>
  <c r="I20" i="17"/>
  <c r="I24" i="17"/>
  <c r="I28" i="17"/>
  <c r="I32" i="17"/>
  <c r="I36" i="17"/>
  <c r="I40" i="17"/>
  <c r="I44" i="17"/>
  <c r="I48" i="17"/>
  <c r="I52" i="17"/>
  <c r="I19" i="17"/>
  <c r="I31" i="17"/>
  <c r="I43" i="17"/>
  <c r="I21" i="17"/>
  <c r="I25" i="17"/>
  <c r="I29" i="17"/>
  <c r="I33" i="17"/>
  <c r="I37" i="17"/>
  <c r="I41" i="17"/>
  <c r="I45" i="17"/>
  <c r="I49" i="17"/>
  <c r="I17" i="17"/>
  <c r="I23" i="17"/>
  <c r="I39" i="17"/>
  <c r="I51" i="17"/>
  <c r="I18" i="17"/>
  <c r="I22" i="17"/>
  <c r="I26" i="17"/>
  <c r="I30" i="17"/>
  <c r="I34" i="17"/>
  <c r="I38" i="17"/>
  <c r="I42" i="17"/>
  <c r="I46" i="17"/>
  <c r="I50" i="17"/>
  <c r="I27" i="17"/>
  <c r="I35" i="17"/>
  <c r="I47" i="17"/>
  <c r="O16" i="17"/>
  <c r="N15" i="17"/>
  <c r="A16" i="17"/>
  <c r="D56" i="20" l="1"/>
  <c r="A17" i="21"/>
  <c r="N18" i="21"/>
  <c r="A16" i="19"/>
  <c r="N17" i="19"/>
  <c r="I55" i="17"/>
  <c r="N14" i="17"/>
  <c r="O15" i="17"/>
  <c r="A15" i="17"/>
  <c r="N16" i="19" l="1"/>
  <c r="A15" i="19"/>
  <c r="N17" i="21"/>
  <c r="A16" i="21"/>
  <c r="A14" i="17"/>
  <c r="O14" i="17"/>
  <c r="N15" i="19" l="1"/>
  <c r="A14" i="19"/>
  <c r="N14" i="19" s="1"/>
  <c r="A15" i="21"/>
  <c r="N16" i="21"/>
  <c r="A14" i="21" l="1"/>
  <c r="N14" i="21" s="1"/>
  <c r="N15" i="21"/>
  <c r="E14" i="19"/>
  <c r="D31" i="19"/>
  <c r="D50" i="19"/>
  <c r="D42" i="19"/>
  <c r="E52" i="19"/>
  <c r="E33" i="19"/>
  <c r="E18" i="19"/>
  <c r="D28" i="19"/>
  <c r="D22" i="19"/>
  <c r="D21" i="19"/>
  <c r="D23" i="19"/>
  <c r="D49" i="19"/>
  <c r="D39" i="19"/>
  <c r="D53" i="19"/>
  <c r="D48" i="19"/>
  <c r="D44" i="19"/>
  <c r="D29" i="19"/>
  <c r="E29" i="19"/>
  <c r="E16" i="19"/>
  <c r="D41" i="19"/>
  <c r="D52" i="19"/>
  <c r="D45" i="19"/>
  <c r="E28" i="19"/>
  <c r="E47" i="19"/>
  <c r="E23" i="19"/>
  <c r="E20" i="19"/>
  <c r="D35" i="19"/>
  <c r="D24" i="19"/>
  <c r="D38" i="19"/>
  <c r="E21" i="19"/>
  <c r="D34" i="19"/>
  <c r="E31" i="19"/>
  <c r="D27" i="19"/>
  <c r="E36" i="19"/>
  <c r="E56" i="19"/>
  <c r="D14" i="19"/>
  <c r="D32" i="19"/>
  <c r="E39" i="19"/>
  <c r="E53" i="19"/>
  <c r="D17" i="19"/>
  <c r="E41" i="19"/>
  <c r="D37" i="19"/>
  <c r="D43" i="19"/>
  <c r="D30" i="19"/>
  <c r="E25" i="19"/>
  <c r="D19" i="19"/>
  <c r="E45" i="19"/>
  <c r="E34" i="19"/>
  <c r="E57" i="19"/>
  <c r="E35" i="19"/>
  <c r="E37" i="19"/>
  <c r="E48" i="19"/>
  <c r="E24" i="19"/>
  <c r="E38" i="19"/>
  <c r="E42" i="19"/>
  <c r="E32" i="19"/>
  <c r="E50" i="19"/>
  <c r="E22" i="19"/>
  <c r="D57" i="19"/>
  <c r="E40" i="19"/>
  <c r="D15" i="19"/>
  <c r="E51" i="19"/>
  <c r="E17" i="19"/>
  <c r="D40" i="19"/>
  <c r="D47" i="19"/>
  <c r="D26" i="19"/>
  <c r="E49" i="19"/>
  <c r="D16" i="19"/>
  <c r="D51" i="19"/>
  <c r="D18" i="19"/>
  <c r="D25" i="19"/>
  <c r="E19" i="19"/>
  <c r="D33" i="19"/>
  <c r="E15" i="19"/>
  <c r="E30" i="19"/>
  <c r="E43" i="19"/>
  <c r="E44" i="19"/>
  <c r="E27" i="19"/>
  <c r="E26" i="19"/>
  <c r="D46" i="19"/>
  <c r="D20" i="19"/>
  <c r="D36" i="19"/>
  <c r="E46" i="19"/>
  <c r="D56" i="19" l="1"/>
  <c r="E42" i="21"/>
  <c r="D27" i="21"/>
  <c r="E26" i="21"/>
  <c r="E38" i="21"/>
  <c r="E58" i="21"/>
  <c r="D20" i="21"/>
  <c r="D49" i="21"/>
  <c r="E34" i="21"/>
  <c r="D23" i="21"/>
  <c r="E14" i="21"/>
  <c r="D45" i="21"/>
  <c r="D19" i="21"/>
  <c r="D50" i="21"/>
  <c r="E43" i="21"/>
  <c r="E53" i="21"/>
  <c r="D52" i="21"/>
  <c r="D46" i="21"/>
  <c r="D38" i="21"/>
  <c r="E30" i="21"/>
  <c r="D35" i="21"/>
  <c r="D26" i="21"/>
  <c r="E28" i="21"/>
  <c r="E49" i="21"/>
  <c r="E37" i="21"/>
  <c r="D15" i="21"/>
  <c r="E39" i="21"/>
  <c r="D37" i="21"/>
  <c r="D25" i="21"/>
  <c r="E35" i="21"/>
  <c r="E45" i="21"/>
  <c r="D44" i="21"/>
  <c r="E51" i="21"/>
  <c r="D36" i="21"/>
  <c r="D43" i="21"/>
  <c r="D40" i="21"/>
  <c r="E18" i="21"/>
  <c r="D21" i="21"/>
  <c r="E40" i="21"/>
  <c r="D14" i="21"/>
  <c r="D32" i="21"/>
  <c r="E41" i="21"/>
  <c r="D53" i="21"/>
  <c r="E20" i="21"/>
  <c r="D42" i="21"/>
  <c r="E17" i="21"/>
  <c r="D28" i="21"/>
  <c r="D29" i="21"/>
  <c r="E33" i="21"/>
  <c r="D39" i="21"/>
  <c r="E16" i="21"/>
  <c r="D22" i="21"/>
  <c r="D30" i="21"/>
  <c r="D31" i="21"/>
  <c r="D48" i="21"/>
  <c r="E31" i="21"/>
  <c r="E27" i="21"/>
  <c r="E59" i="21"/>
  <c r="E48" i="21"/>
  <c r="E23" i="21"/>
  <c r="E21" i="21"/>
  <c r="E24" i="21"/>
  <c r="E22" i="21"/>
  <c r="E25" i="21"/>
  <c r="E50" i="21"/>
  <c r="E29" i="21"/>
  <c r="E52" i="21"/>
  <c r="E36" i="21"/>
  <c r="E44" i="21"/>
  <c r="D47" i="21"/>
  <c r="D16" i="21"/>
  <c r="D33" i="21"/>
  <c r="D59" i="21"/>
  <c r="E32" i="21"/>
  <c r="D34" i="21"/>
  <c r="E15" i="21"/>
  <c r="E55" i="21"/>
  <c r="D18" i="21"/>
  <c r="D54" i="21"/>
  <c r="D55" i="21"/>
  <c r="E54" i="21"/>
  <c r="E47" i="21"/>
  <c r="D41" i="21"/>
  <c r="D17" i="21"/>
  <c r="E46" i="21"/>
  <c r="D51" i="21"/>
  <c r="D24" i="21"/>
  <c r="E19" i="21"/>
  <c r="D58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0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Jim Murphy:
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  <author>jmurphy</author>
  </authors>
  <commentList>
    <comment ref="F3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subtract a certain number</t>
        </r>
      </text>
    </comment>
    <comment ref="K41" authorId="1" shapeId="0" xr:uid="{00000000-0006-0000-2000-000002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Dolly Ike Lit Reduction spreadsheet</t>
        </r>
      </text>
    </comment>
  </commentList>
</comments>
</file>

<file path=xl/sharedStrings.xml><?xml version="1.0" encoding="utf-8"?>
<sst xmlns="http://schemas.openxmlformats.org/spreadsheetml/2006/main" count="1232" uniqueCount="404">
  <si>
    <t>Texas Windstorm Insurance Association</t>
  </si>
  <si>
    <t>Residential Property - Wind &amp; Hail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</si>
  <si>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</si>
  <si>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</si>
  <si>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</si>
  <si>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</si>
  <si>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</si>
  <si>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</si>
  <si>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</si>
  <si>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</si>
  <si>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</si>
  <si>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</si>
  <si>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</si>
  <si>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</si>
  <si>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</si>
  <si>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</si>
  <si>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Using Hurricane Models</t>
  </si>
  <si>
    <t>Hurricane Projection Method</t>
  </si>
  <si>
    <t>Notes:</t>
  </si>
  <si>
    <t>Projected Ultimate Non-Hurricane Loss &amp; LAE Ratio</t>
  </si>
  <si>
    <t>All Territory Weighted Average</t>
  </si>
  <si>
    <t>Exhibit 2</t>
  </si>
  <si>
    <t>Sheet 1</t>
  </si>
  <si>
    <t>Territory</t>
  </si>
  <si>
    <t>Tier 1 - Territory 8</t>
  </si>
  <si>
    <t>Tier 2</t>
  </si>
  <si>
    <t>Tier 1 - Territory 10</t>
  </si>
  <si>
    <t>Tier 1 - Territory 9</t>
  </si>
  <si>
    <t>Amount</t>
  </si>
  <si>
    <t>Share</t>
  </si>
  <si>
    <t>Loss &amp; LAE Ratio</t>
  </si>
  <si>
    <t>Total / Average</t>
  </si>
  <si>
    <t>Tier 1 -- Territory 8 (Galveston County)</t>
  </si>
  <si>
    <t>Sheet 2a</t>
  </si>
  <si>
    <t>Accident Year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</si>
  <si>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</si>
  <si>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</si>
  <si>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</si>
  <si>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</si>
  <si>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</si>
  <si>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</si>
  <si>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</si>
  <si>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</si>
  <si>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</si>
  <si>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</si>
  <si>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</si>
  <si>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</si>
  <si>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Sheet 2b</t>
  </si>
  <si>
    <t>Tier 1 -- Territory 10 (Other Tier 1)</t>
  </si>
  <si>
    <t>Sheet 2c</t>
  </si>
  <si>
    <t>Sheet 2d</t>
  </si>
  <si>
    <t>Tier 2 -- (Territories 1 and 11)</t>
  </si>
  <si>
    <t>Sheet 3a</t>
  </si>
  <si>
    <t>Projected Ultimate Non-Hurricane Loss</t>
  </si>
  <si>
    <t>Accident</t>
  </si>
  <si>
    <t>Year</t>
  </si>
  <si>
    <t>Paid Loss</t>
  </si>
  <si>
    <t>Development</t>
  </si>
  <si>
    <t>Sheet 3b</t>
  </si>
  <si>
    <t>Sheet 3c</t>
  </si>
  <si>
    <t>Sheet 3d</t>
  </si>
  <si>
    <t>Paid Loss Excluding Expense</t>
  </si>
  <si>
    <t>Sheet 4a</t>
  </si>
  <si>
    <t>Sheet 4b</t>
  </si>
  <si>
    <t>Sheet 4c</t>
  </si>
  <si>
    <t>Sheet 4d</t>
  </si>
  <si>
    <t>Paid Loss Development Factors</t>
  </si>
  <si>
    <t>Statewide Industry Extended Coverage Dwelling Paid Loss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</si>
  <si>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</si>
  <si>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</si>
  <si>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</si>
  <si>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</si>
  <si>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</si>
  <si>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</si>
  <si>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</si>
  <si>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</si>
  <si>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</si>
  <si>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</si>
  <si>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</si>
  <si>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</si>
  <si>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</si>
  <si>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</si>
  <si>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</si>
  <si>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</si>
  <si>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</si>
  <si>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</si>
  <si>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</si>
  <si>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</si>
  <si>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</si>
  <si>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</si>
  <si>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</si>
  <si>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</si>
  <si>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</si>
  <si>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</si>
  <si>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ULAE</t>
  </si>
  <si>
    <t>Sheet 5</t>
  </si>
  <si>
    <t>Incurred ALAE Development Factors</t>
  </si>
  <si>
    <t>TWIA Schedule P Incurred ALAE (Including IBNR)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</si>
  <si>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</si>
  <si>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</si>
  <si>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</si>
  <si>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</si>
  <si>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</si>
  <si>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</si>
  <si>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AIR Model</t>
  </si>
  <si>
    <t>RMS Model</t>
  </si>
  <si>
    <t>Average of Models</t>
  </si>
  <si>
    <t>Exhibit 6</t>
  </si>
  <si>
    <t>Industry Experience -- Residential Extended Coverage</t>
  </si>
  <si>
    <t>1971</t>
  </si>
  <si>
    <t>1980</t>
  </si>
  <si>
    <t>1983</t>
  </si>
  <si>
    <t>1986</t>
  </si>
  <si>
    <t>1989</t>
  </si>
  <si>
    <t>1990</t>
  </si>
  <si>
    <t>1999</t>
  </si>
  <si>
    <t>(10)</t>
  </si>
  <si>
    <t>Start</t>
  </si>
  <si>
    <t>End</t>
  </si>
  <si>
    <t>Simple Average Loss Ratio for Hurricane Years</t>
  </si>
  <si>
    <t>Average Hurricane Loss Ratio for Hurricane Years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</si>
  <si>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</si>
  <si>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</si>
  <si>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</si>
  <si>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</si>
  <si>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</si>
  <si>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</si>
  <si>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</si>
  <si>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</si>
  <si>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</si>
  <si>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</si>
  <si>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at CMR</t>
  </si>
  <si>
    <t>Average of Non-Hurricane Years</t>
  </si>
  <si>
    <t>Territory 8</t>
  </si>
  <si>
    <t>Territory 9</t>
  </si>
  <si>
    <t>Territory 10</t>
  </si>
  <si>
    <t>Weighted</t>
  </si>
  <si>
    <t>Loss Ratios by Territory / Tier</t>
  </si>
  <si>
    <t>% Share</t>
  </si>
  <si>
    <t>to TWIA</t>
  </si>
  <si>
    <t>Rate Level</t>
  </si>
  <si>
    <t>Sheet 6</t>
  </si>
  <si>
    <t>Sheet 7</t>
  </si>
  <si>
    <t>Factor to TWIA Rate Level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</si>
  <si>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</si>
  <si>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</si>
  <si>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</si>
  <si>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</si>
  <si>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</si>
  <si>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</si>
  <si>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</si>
  <si>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</si>
  <si>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</si>
  <si>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</si>
  <si>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</si>
  <si>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</si>
  <si>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</si>
  <si>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</si>
  <si>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</si>
  <si>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</si>
  <si>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</si>
  <si>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</si>
  <si>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</si>
  <si>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</si>
  <si>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</si>
  <si>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</si>
  <si>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</si>
  <si>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</si>
  <si>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</si>
  <si>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</si>
  <si>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</si>
  <si>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</si>
  <si>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Hurricane Loss Ratio -- AIR Model</t>
  </si>
  <si>
    <t>AIR Simulated Hurricane Results</t>
  </si>
  <si>
    <t>Exhibit 9</t>
  </si>
  <si>
    <t>Hurricane Loss Ratio -- RMS Model</t>
  </si>
  <si>
    <t>RMS Simulated Hurricane Results</t>
  </si>
  <si>
    <t>Exhibit 10</t>
  </si>
  <si>
    <t>Name</t>
  </si>
  <si>
    <t>Frequency</t>
  </si>
  <si>
    <t>Date Period</t>
  </si>
  <si>
    <t>Hurricanes</t>
  </si>
  <si>
    <t>Annual Frequency</t>
  </si>
  <si>
    <t>Exhibit 11</t>
  </si>
  <si>
    <t>Sheet 1a</t>
  </si>
  <si>
    <t>Manual Rates</t>
  </si>
  <si>
    <t>Sheet 1b</t>
  </si>
  <si>
    <t>Sheet 1c</t>
  </si>
  <si>
    <t>Sheet 1d</t>
  </si>
  <si>
    <t>Calculation of TWIA Earned Premium at Present Rate Level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</si>
  <si>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</si>
  <si>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</si>
  <si>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</si>
  <si>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</si>
  <si>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</si>
  <si>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</si>
  <si>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</si>
  <si>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</si>
  <si>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</si>
  <si>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</si>
  <si>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</si>
  <si>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</si>
  <si>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</si>
  <si>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</si>
  <si>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</si>
  <si>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</si>
  <si>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</si>
  <si>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</si>
  <si>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</si>
  <si>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(15)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</si>
  <si>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</si>
  <si>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</si>
  <si>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</si>
  <si>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</si>
  <si>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</si>
  <si>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</si>
  <si>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</si>
  <si>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</si>
  <si>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CY Data Ending</t>
  </si>
  <si>
    <t>Calendar Year Ending</t>
  </si>
  <si>
    <t>CAY Ending</t>
  </si>
  <si>
    <t>Evaluated as of</t>
  </si>
  <si>
    <t>Latest Annual Statement Date</t>
  </si>
  <si>
    <t>Ultimate LAE (TWIA All Lines)</t>
  </si>
  <si>
    <t>In-Force</t>
  </si>
  <si>
    <t>Trend Length</t>
  </si>
  <si>
    <t>Selected Premium Trend</t>
  </si>
  <si>
    <t>Fixed Expenses and Variable Permissible Loss &amp; LAE Ratios</t>
  </si>
  <si>
    <t>Variable</t>
  </si>
  <si>
    <t>Fixed</t>
  </si>
  <si>
    <t>Expenses</t>
  </si>
  <si>
    <t>LLAE Ratio</t>
  </si>
  <si>
    <t>Current</t>
  </si>
  <si>
    <t>Prospective</t>
  </si>
  <si>
    <t>Premium Trend Analysis</t>
  </si>
  <si>
    <t>Written</t>
  </si>
  <si>
    <t>Year /</t>
  </si>
  <si>
    <t>Period</t>
  </si>
  <si>
    <t>Quarter</t>
  </si>
  <si>
    <t>Index</t>
  </si>
  <si>
    <t>Loss Trend Analysis</t>
  </si>
  <si>
    <t>Summary of Indices and Calculation of Prospective Loss Costs</t>
  </si>
  <si>
    <t>CY Ending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</si>
  <si>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</si>
  <si>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</si>
  <si>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</si>
  <si>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</si>
  <si>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</si>
  <si>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</si>
  <si>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</si>
  <si>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</si>
  <si>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</si>
  <si>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</si>
  <si>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</si>
  <si>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</si>
  <si>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Boeckh Residential Construction Index Trend (Statewide)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</si>
  <si>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</si>
  <si>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</si>
  <si>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</si>
  <si>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</si>
  <si>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</si>
  <si>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</si>
  <si>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</si>
  <si>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</si>
  <si>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</si>
  <si>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</si>
  <si>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Boeckh Residential Construction Index Trend (Coastal)</t>
  </si>
  <si>
    <t>Modified Consumer Price Index - External Trend</t>
  </si>
  <si>
    <t>1970</t>
  </si>
  <si>
    <t>1968</t>
  </si>
  <si>
    <t>Prior</t>
  </si>
  <si>
    <t>OLF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</si>
  <si>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</si>
  <si>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</si>
  <si>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</si>
  <si>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</si>
  <si>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</si>
  <si>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</si>
  <si>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</si>
  <si>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</si>
  <si>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</si>
  <si>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2003</t>
  </si>
  <si>
    <t>Using Actual Industry Experience</t>
  </si>
  <si>
    <t>Industry Experience</t>
  </si>
  <si>
    <t>Historical Hurricane Frequency</t>
  </si>
  <si>
    <t>Selected Frequency</t>
  </si>
  <si>
    <t>5-Year</t>
  </si>
  <si>
    <t>4-Year</t>
  </si>
  <si>
    <t>3-Year</t>
  </si>
  <si>
    <t>Selected Loss Trend</t>
  </si>
  <si>
    <t>2005</t>
  </si>
  <si>
    <t>at Present Rates</t>
  </si>
  <si>
    <t>Exponential Fitted Trends</t>
  </si>
  <si>
    <t>Level</t>
  </si>
  <si>
    <t>All-Year</t>
  </si>
  <si>
    <t>Correlation Coefficient</t>
  </si>
  <si>
    <t>Average Annual Change</t>
  </si>
  <si>
    <t>(16)</t>
  </si>
  <si>
    <t>Factors</t>
  </si>
  <si>
    <t>TWIA Residential Earned Premium at Present Rates</t>
  </si>
  <si>
    <t>Landfall</t>
  </si>
  <si>
    <t>Month</t>
  </si>
  <si>
    <t>On-</t>
  </si>
  <si>
    <t>Exhibit 7</t>
  </si>
  <si>
    <t>2007</t>
  </si>
  <si>
    <t>2008</t>
  </si>
  <si>
    <t>Using Experience and Models</t>
  </si>
  <si>
    <t>Proposed</t>
  </si>
  <si>
    <t>Development of Reinsurer Expense</t>
  </si>
  <si>
    <t>Using Average of AIR and  RMS Hurricane Models</t>
  </si>
  <si>
    <t>Reinsurance Contract</t>
  </si>
  <si>
    <t>Effective</t>
  </si>
  <si>
    <t>Expiring</t>
  </si>
  <si>
    <t>Average Earned Date</t>
  </si>
  <si>
    <t>(2a)</t>
  </si>
  <si>
    <t>Average Annual Loss by Reinsurance Layer (AIR)</t>
  </si>
  <si>
    <t>Hurricane Model</t>
  </si>
  <si>
    <t>Selected Exposure Trend</t>
  </si>
  <si>
    <t>(2b)</t>
  </si>
  <si>
    <t>Average Annual Loss by Reinsurance Layer (RMS)</t>
  </si>
  <si>
    <t>12/31</t>
  </si>
  <si>
    <t>(2c)</t>
  </si>
  <si>
    <t>Selected Total Average Annual Loss</t>
  </si>
  <si>
    <t>Trended</t>
  </si>
  <si>
    <t>Annual Exposure Growth</t>
  </si>
  <si>
    <t>Prospective Average Annual Loss</t>
  </si>
  <si>
    <t>Net Cost of Reinsurance</t>
  </si>
  <si>
    <t>Indicated Reinsurance Expense %</t>
  </si>
  <si>
    <t>2010 / 3</t>
  </si>
  <si>
    <t>Provision for</t>
  </si>
  <si>
    <t>Storm Surge</t>
  </si>
  <si>
    <t>AIR Storm Surge Increase</t>
  </si>
  <si>
    <t>RMS Storm Surge Increase</t>
  </si>
  <si>
    <t>2012 / 3</t>
  </si>
  <si>
    <t>2011 / 3</t>
  </si>
  <si>
    <t>TWIA</t>
  </si>
  <si>
    <t>Projected Ultimate Non-Hurricane Loss &amp; LAE Ratio based on TWIA experience</t>
  </si>
  <si>
    <t>to Current</t>
  </si>
  <si>
    <t>2013 / 3</t>
  </si>
  <si>
    <t>Litigation cost reduction</t>
  </si>
  <si>
    <t/>
  </si>
  <si>
    <t>2014 / 3</t>
  </si>
  <si>
    <t>2015 / 3</t>
  </si>
  <si>
    <t>2016 / 3</t>
  </si>
  <si>
    <t>Actual</t>
  </si>
  <si>
    <t>Permissible Loss &amp; LAE Ratio</t>
  </si>
  <si>
    <t>Note: depop increase 2%</t>
  </si>
  <si>
    <t>at</t>
  </si>
  <si>
    <t>2017 / 3</t>
  </si>
  <si>
    <t>Writen premium</t>
  </si>
  <si>
    <t>At present rates</t>
  </si>
  <si>
    <t xml:space="preserve"> </t>
  </si>
  <si>
    <t>Selected Cumulative</t>
  </si>
  <si>
    <t>Total ultimate paid loss</t>
  </si>
  <si>
    <t>Tier 2 -- (Territories 1)</t>
  </si>
  <si>
    <t>Tier 2 -- (Territories 1 )</t>
  </si>
  <si>
    <t>2018 / 3</t>
  </si>
  <si>
    <t>2018 EPPR</t>
  </si>
  <si>
    <t>2018 Indications</t>
  </si>
  <si>
    <t xml:space="preserve"> Loss Ratio</t>
  </si>
  <si>
    <t>premium trend;loss trend</t>
  </si>
  <si>
    <t>Wtd Devel'd</t>
  </si>
  <si>
    <t>May consider frequency and severity trend sperately</t>
  </si>
  <si>
    <t xml:space="preserve"> to incorporate the statutory limitations on litigation cost that House Bill 3 provides</t>
  </si>
  <si>
    <t>(7) = (6) * loss develepment factors from Exhibit 3.1b</t>
  </si>
  <si>
    <t>Exposure</t>
  </si>
  <si>
    <t>Quarterly</t>
  </si>
  <si>
    <t>Four Quarter Ending</t>
  </si>
  <si>
    <t>(6) = (5) / (2)</t>
  </si>
  <si>
    <t>(7) annualized average written premium</t>
  </si>
  <si>
    <t>Per house year</t>
  </si>
  <si>
    <t>Table of Contents</t>
  </si>
  <si>
    <t>Main Heading</t>
  </si>
  <si>
    <t>Sub-heading</t>
  </si>
  <si>
    <t xml:space="preserve">Exhibit </t>
  </si>
  <si>
    <t>Sheet</t>
  </si>
  <si>
    <t>Tab label</t>
  </si>
  <si>
    <t>2.2a</t>
  </si>
  <si>
    <t>2.2b</t>
  </si>
  <si>
    <t>2.2c</t>
  </si>
  <si>
    <t>2.2d</t>
  </si>
  <si>
    <t>2.3a</t>
  </si>
  <si>
    <t>2.3b</t>
  </si>
  <si>
    <t>2.3c</t>
  </si>
  <si>
    <t>2.3d</t>
  </si>
  <si>
    <t>2.4a</t>
  </si>
  <si>
    <t>2.4b</t>
  </si>
  <si>
    <t>2.4c</t>
  </si>
  <si>
    <t>2.4d</t>
  </si>
  <si>
    <t>trend 2.5</t>
  </si>
  <si>
    <t>ldf 3.1a</t>
  </si>
  <si>
    <t>ldf 3.1b</t>
  </si>
  <si>
    <t>3.2 premium trend</t>
  </si>
  <si>
    <t>3.3a</t>
  </si>
  <si>
    <t>3.3b</t>
  </si>
  <si>
    <t>3.3c</t>
  </si>
  <si>
    <t>3.3d</t>
  </si>
  <si>
    <t>4.3AS loss Dev</t>
  </si>
  <si>
    <t>4.5AS LAE Dev</t>
  </si>
  <si>
    <t>10.1a</t>
  </si>
  <si>
    <t>10.1b</t>
  </si>
  <si>
    <t>10.1c</t>
  </si>
  <si>
    <t>10.1d</t>
  </si>
  <si>
    <t>2019 Rate Level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</si>
</sst>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;@"/>
    <numFmt numFmtId="181" formatCode="0.00000%"/>
    <numFmt numFmtId="182" formatCode="_(* #,##0.0_);_(* \(#,##0.0\);_(* &quot;-&quot;??_);_(@_)"/>
  </numFmts>
  <fonts count="17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14"/>
      <name val="Arial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color rgb="FF666699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9" fillId="0" borderId="0"/>
    <xf numFmtId="173" fontId="9" fillId="0" borderId="0"/>
    <xf numFmtId="174" fontId="9" fillId="0" borderId="0"/>
    <xf numFmtId="177" fontId="9" fillId="0" borderId="0"/>
    <xf numFmtId="175" fontId="9" fillId="0" borderId="0"/>
    <xf numFmtId="172" fontId="9" fillId="0" borderId="0"/>
    <xf numFmtId="0" fontId="4" fillId="0" borderId="0"/>
    <xf numFmtId="9" fontId="1" fillId="0" borderId="0" applyFont="0" applyFill="0" applyBorder="0" applyAlignment="0" applyProtection="0"/>
    <xf numFmtId="164" fontId="9" fillId="0" borderId="0"/>
  </cellStyleXfs>
  <cellXfs count="34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7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0" fontId="5" fillId="0" borderId="0" xfId="0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0" fontId="4" fillId="0" borderId="0" xfId="0" applyFont="1" applyFill="1"/>
    <xf numFmtId="164" fontId="4" fillId="0" borderId="0" xfId="9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Fill="1"/>
    <xf numFmtId="3" fontId="0" fillId="0" borderId="7" xfId="0" applyNumberFormat="1" applyBorder="1"/>
    <xf numFmtId="164" fontId="0" fillId="0" borderId="0" xfId="0" applyNumberFormat="1" applyFill="1"/>
    <xf numFmtId="164" fontId="0" fillId="0" borderId="7" xfId="0" applyNumberFormat="1" applyFill="1" applyBorder="1"/>
    <xf numFmtId="3" fontId="4" fillId="0" borderId="0" xfId="0" applyNumberFormat="1" applyFont="1" applyFill="1"/>
    <xf numFmtId="3" fontId="4" fillId="0" borderId="7" xfId="0" applyNumberFormat="1" applyFont="1" applyFill="1" applyBorder="1"/>
    <xf numFmtId="3" fontId="0" fillId="0" borderId="0" xfId="0" applyNumberFormat="1" applyFill="1"/>
    <xf numFmtId="3" fontId="0" fillId="0" borderId="7" xfId="0" applyNumberFormat="1" applyFill="1" applyBorder="1"/>
    <xf numFmtId="166" fontId="4" fillId="0" borderId="0" xfId="0" applyNumberFormat="1" applyFont="1" applyFill="1"/>
    <xf numFmtId="166" fontId="0" fillId="0" borderId="0" xfId="0" applyNumberFormat="1" applyFill="1"/>
    <xf numFmtId="166" fontId="0" fillId="0" borderId="7" xfId="0" applyNumberFormat="1" applyFill="1" applyBorder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7" xfId="0" applyNumberFormat="1" applyFont="1" applyFill="1" applyBorder="1"/>
    <xf numFmtId="167" fontId="0" fillId="0" borderId="0" xfId="0" applyNumberFormat="1"/>
    <xf numFmtId="167" fontId="6" fillId="0" borderId="0" xfId="0" applyNumberFormat="1" applyFont="1"/>
    <xf numFmtId="166" fontId="0" fillId="0" borderId="0" xfId="0" applyNumberFormat="1"/>
    <xf numFmtId="166" fontId="5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4" fillId="0" borderId="0" xfId="0" applyNumberFormat="1" applyFont="1" applyFill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4" fontId="5" fillId="0" borderId="0" xfId="9" applyNumberFormat="1" applyFont="1" applyFill="1" applyBorder="1"/>
    <xf numFmtId="165" fontId="5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0" fontId="0" fillId="0" borderId="0" xfId="0" applyFill="1" applyAlignment="1">
      <alignment horizontal="left"/>
    </xf>
    <xf numFmtId="3" fontId="0" fillId="0" borderId="0" xfId="0" applyNumberFormat="1" applyBorder="1"/>
    <xf numFmtId="49" fontId="4" fillId="0" borderId="0" xfId="0" applyNumberFormat="1" applyFont="1" applyFill="1" applyBorder="1"/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quotePrefix="1" applyNumberFormat="1" applyAlignment="1">
      <alignment horizontal="center"/>
    </xf>
    <xf numFmtId="0" fontId="0" fillId="0" borderId="0" xfId="0" quotePrefix="1" applyFill="1"/>
    <xf numFmtId="166" fontId="4" fillId="0" borderId="7" xfId="0" applyNumberFormat="1" applyFont="1" applyFill="1" applyBorder="1"/>
    <xf numFmtId="3" fontId="5" fillId="0" borderId="7" xfId="0" applyNumberFormat="1" applyFont="1" applyFill="1" applyBorder="1"/>
    <xf numFmtId="14" fontId="0" fillId="0" borderId="0" xfId="0" applyNumberFormat="1"/>
    <xf numFmtId="49" fontId="4" fillId="0" borderId="7" xfId="0" applyNumberFormat="1" applyFont="1" applyBorder="1"/>
    <xf numFmtId="164" fontId="4" fillId="0" borderId="7" xfId="0" applyNumberFormat="1" applyFont="1" applyFill="1" applyBorder="1"/>
    <xf numFmtId="0" fontId="4" fillId="0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14" fontId="0" fillId="0" borderId="0" xfId="0" applyNumberFormat="1" applyFill="1"/>
    <xf numFmtId="166" fontId="0" fillId="0" borderId="0" xfId="0" applyNumberFormat="1" applyFill="1" applyBorder="1"/>
    <xf numFmtId="164" fontId="4" fillId="0" borderId="0" xfId="0" applyNumberFormat="1" applyFont="1"/>
    <xf numFmtId="170" fontId="4" fillId="0" borderId="0" xfId="9" applyNumberFormat="1" applyFont="1" applyFill="1"/>
    <xf numFmtId="170" fontId="0" fillId="0" borderId="0" xfId="0" applyNumberFormat="1"/>
    <xf numFmtId="0" fontId="6" fillId="0" borderId="0" xfId="0" applyFont="1" applyFill="1"/>
    <xf numFmtId="14" fontId="6" fillId="0" borderId="0" xfId="0" applyNumberFormat="1" applyFont="1" applyFill="1"/>
    <xf numFmtId="3" fontId="7" fillId="0" borderId="0" xfId="0" applyNumberFormat="1" applyFont="1" applyFill="1"/>
    <xf numFmtId="3" fontId="7" fillId="0" borderId="7" xfId="0" applyNumberFormat="1" applyFont="1" applyFill="1" applyBorder="1"/>
    <xf numFmtId="14" fontId="7" fillId="0" borderId="0" xfId="0" applyNumberFormat="1" applyFont="1"/>
    <xf numFmtId="14" fontId="7" fillId="0" borderId="0" xfId="0" applyNumberFormat="1" applyFont="1" applyFill="1"/>
    <xf numFmtId="14" fontId="4" fillId="0" borderId="0" xfId="0" applyNumberFormat="1" applyFont="1"/>
    <xf numFmtId="164" fontId="4" fillId="0" borderId="7" xfId="9" applyNumberFormat="1" applyFont="1" applyFill="1" applyBorder="1"/>
    <xf numFmtId="49" fontId="5" fillId="0" borderId="0" xfId="0" applyNumberFormat="1" applyFont="1" applyFill="1"/>
    <xf numFmtId="0" fontId="6" fillId="0" borderId="0" xfId="0" applyFont="1"/>
    <xf numFmtId="0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/>
    <xf numFmtId="3" fontId="7" fillId="0" borderId="0" xfId="0" applyNumberFormat="1" applyFont="1"/>
    <xf numFmtId="3" fontId="7" fillId="0" borderId="7" xfId="0" applyNumberFormat="1" applyFont="1" applyBorder="1"/>
    <xf numFmtId="164" fontId="7" fillId="0" borderId="0" xfId="0" applyNumberFormat="1" applyFont="1" applyFill="1"/>
    <xf numFmtId="169" fontId="7" fillId="0" borderId="0" xfId="0" applyNumberFormat="1" applyFont="1" applyFill="1"/>
    <xf numFmtId="167" fontId="7" fillId="0" borderId="0" xfId="0" applyNumberFormat="1" applyFont="1"/>
    <xf numFmtId="14" fontId="5" fillId="0" borderId="0" xfId="0" applyNumberFormat="1" applyFont="1"/>
    <xf numFmtId="166" fontId="6" fillId="0" borderId="0" xfId="0" applyNumberFormat="1" applyFont="1"/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 applyFill="1"/>
    <xf numFmtId="0" fontId="4" fillId="0" borderId="0" xfId="0" applyFont="1" applyBorder="1"/>
    <xf numFmtId="0" fontId="0" fillId="0" borderId="0" xfId="0" applyBorder="1" applyAlignment="1">
      <alignment horizontal="centerContinuous"/>
    </xf>
    <xf numFmtId="3" fontId="7" fillId="0" borderId="0" xfId="0" applyNumberFormat="1" applyFont="1" applyFill="1" applyBorder="1"/>
    <xf numFmtId="166" fontId="4" fillId="0" borderId="0" xfId="0" applyNumberFormat="1" applyFont="1" applyFill="1" applyBorder="1"/>
    <xf numFmtId="166" fontId="0" fillId="0" borderId="0" xfId="0" applyNumberFormat="1" applyBorder="1"/>
    <xf numFmtId="0" fontId="4" fillId="0" borderId="0" xfId="0" quotePrefix="1" applyFont="1"/>
    <xf numFmtId="0" fontId="4" fillId="0" borderId="0" xfId="0" applyFont="1" applyFill="1" applyBorder="1"/>
    <xf numFmtId="164" fontId="6" fillId="0" borderId="0" xfId="0" applyNumberFormat="1" applyFont="1" applyFill="1" applyBorder="1"/>
    <xf numFmtId="0" fontId="4" fillId="0" borderId="0" xfId="8"/>
    <xf numFmtId="3" fontId="7" fillId="0" borderId="0" xfId="8" applyNumberFormat="1" applyFont="1" applyFill="1"/>
    <xf numFmtId="3" fontId="7" fillId="0" borderId="0" xfId="8" applyNumberFormat="1" applyFont="1" applyFill="1" applyBorder="1"/>
    <xf numFmtId="0" fontId="4" fillId="0" borderId="0" xfId="0" quotePrefix="1" applyFont="1" applyAlignment="1"/>
    <xf numFmtId="0" fontId="0" fillId="0" borderId="0" xfId="0" applyBorder="1" applyAlignment="1"/>
    <xf numFmtId="0" fontId="6" fillId="0" borderId="0" xfId="0" applyNumberFormat="1" applyFont="1"/>
    <xf numFmtId="0" fontId="0" fillId="0" borderId="0" xfId="0" quotePrefix="1" applyBorder="1" applyAlignment="1"/>
    <xf numFmtId="0" fontId="0" fillId="0" borderId="0" xfId="0" quotePrefix="1" applyFill="1" applyBorder="1" applyAlignment="1"/>
    <xf numFmtId="0" fontId="0" fillId="0" borderId="0" xfId="0" applyBorder="1" applyAlignment="1">
      <alignment horizontal="center"/>
    </xf>
    <xf numFmtId="2" fontId="4" fillId="0" borderId="0" xfId="0" applyNumberFormat="1" applyFont="1" applyFill="1"/>
    <xf numFmtId="14" fontId="0" fillId="0" borderId="7" xfId="0" applyNumberFormat="1" applyBorder="1"/>
    <xf numFmtId="2" fontId="4" fillId="0" borderId="7" xfId="0" applyNumberFormat="1" applyFont="1" applyFill="1" applyBorder="1"/>
    <xf numFmtId="0" fontId="0" fillId="0" borderId="0" xfId="0" applyFill="1" applyBorder="1" applyAlignment="1"/>
    <xf numFmtId="0" fontId="7" fillId="0" borderId="0" xfId="0" applyFont="1"/>
    <xf numFmtId="167" fontId="5" fillId="0" borderId="0" xfId="0" applyNumberFormat="1" applyFont="1"/>
    <xf numFmtId="167" fontId="7" fillId="0" borderId="0" xfId="0" applyNumberFormat="1" applyFont="1" applyFill="1"/>
    <xf numFmtId="3" fontId="4" fillId="0" borderId="0" xfId="0" applyNumberFormat="1" applyFont="1" applyFill="1" applyBorder="1"/>
    <xf numFmtId="166" fontId="5" fillId="0" borderId="0" xfId="0" applyNumberFormat="1" applyFont="1"/>
    <xf numFmtId="166" fontId="6" fillId="0" borderId="0" xfId="0" applyNumberFormat="1" applyFont="1" applyFill="1"/>
    <xf numFmtId="2" fontId="6" fillId="0" borderId="0" xfId="0" applyNumberFormat="1" applyFont="1" applyFill="1"/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/>
    <xf numFmtId="0" fontId="0" fillId="0" borderId="0" xfId="0" applyFont="1" applyFill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0" xfId="0" quotePrefix="1" applyFill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0" fillId="0" borderId="0" xfId="0" quotePrefix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right"/>
    </xf>
    <xf numFmtId="166" fontId="0" fillId="0" borderId="0" xfId="0" applyNumberFormat="1" applyProtection="1"/>
    <xf numFmtId="166" fontId="0" fillId="0" borderId="0" xfId="0" applyNumberFormat="1" applyFont="1" applyFill="1" applyBorder="1" applyProtection="1"/>
    <xf numFmtId="168" fontId="0" fillId="0" borderId="0" xfId="0" applyNumberFormat="1" applyFont="1" applyFill="1" applyAlignment="1" applyProtection="1"/>
    <xf numFmtId="166" fontId="0" fillId="0" borderId="0" xfId="0" applyNumberFormat="1" applyFont="1" applyFill="1" applyProtection="1"/>
    <xf numFmtId="3" fontId="0" fillId="0" borderId="0" xfId="0" applyNumberFormat="1" applyProtection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4" fillId="0" borderId="0" xfId="0" applyNumberFormat="1" applyFont="1" applyFill="1" applyBorder="1" applyProtection="1"/>
    <xf numFmtId="49" fontId="4" fillId="0" borderId="0" xfId="0" applyNumberFormat="1" applyFont="1" applyBorder="1"/>
    <xf numFmtId="164" fontId="5" fillId="0" borderId="0" xfId="9" applyNumberFormat="1" applyFont="1" applyFill="1"/>
    <xf numFmtId="1" fontId="4" fillId="0" borderId="0" xfId="0" applyNumberFormat="1" applyFont="1" applyFill="1"/>
    <xf numFmtId="166" fontId="6" fillId="0" borderId="0" xfId="0" applyNumberFormat="1" applyFont="1" applyFill="1" applyBorder="1"/>
    <xf numFmtId="0" fontId="6" fillId="0" borderId="0" xfId="0" applyFont="1" applyFill="1" applyAlignment="1" applyProtection="1">
      <alignment horizontal="left"/>
    </xf>
    <xf numFmtId="167" fontId="4" fillId="0" borderId="0" xfId="0" applyNumberFormat="1" applyFont="1"/>
    <xf numFmtId="4" fontId="4" fillId="0" borderId="0" xfId="0" applyNumberFormat="1" applyFont="1" applyFill="1" applyAlignment="1" applyProtection="1"/>
    <xf numFmtId="0" fontId="0" fillId="0" borderId="0" xfId="0" applyFill="1" applyBorder="1" applyAlignment="1">
      <alignment horizontal="left"/>
    </xf>
    <xf numFmtId="170" fontId="4" fillId="0" borderId="0" xfId="9" applyNumberFormat="1" applyFont="1" applyFill="1" applyBorder="1"/>
    <xf numFmtId="49" fontId="5" fillId="0" borderId="0" xfId="0" applyNumberFormat="1" applyFont="1" applyFill="1" applyBorder="1"/>
    <xf numFmtId="167" fontId="4" fillId="0" borderId="0" xfId="0" applyNumberFormat="1" applyFont="1" applyFill="1" applyBorder="1"/>
    <xf numFmtId="167" fontId="0" fillId="0" borderId="0" xfId="0" applyNumberFormat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2" fontId="4" fillId="0" borderId="0" xfId="0" applyNumberFormat="1" applyFont="1" applyFill="1" applyBorder="1"/>
    <xf numFmtId="164" fontId="0" fillId="0" borderId="0" xfId="0" applyNumberFormat="1" applyBorder="1"/>
    <xf numFmtId="0" fontId="4" fillId="0" borderId="7" xfId="0" applyFont="1" applyBorder="1"/>
    <xf numFmtId="14" fontId="0" fillId="0" borderId="0" xfId="0" applyNumberFormat="1" applyFont="1"/>
    <xf numFmtId="0" fontId="0" fillId="0" borderId="0" xfId="0" applyNumberFormat="1" applyFont="1"/>
    <xf numFmtId="0" fontId="0" fillId="0" borderId="0" xfId="0" applyFont="1" applyBorder="1"/>
    <xf numFmtId="4" fontId="0" fillId="0" borderId="7" xfId="0" applyNumberFormat="1" applyFont="1" applyBorder="1"/>
    <xf numFmtId="178" fontId="0" fillId="0" borderId="0" xfId="0" applyNumberFormat="1" applyFont="1"/>
    <xf numFmtId="0" fontId="0" fillId="0" borderId="7" xfId="0" applyNumberFormat="1" applyBorder="1"/>
    <xf numFmtId="3" fontId="7" fillId="0" borderId="0" xfId="0" applyNumberFormat="1" applyFont="1" applyFill="1" applyAlignment="1"/>
    <xf numFmtId="3" fontId="7" fillId="0" borderId="7" xfId="0" applyNumberFormat="1" applyFont="1" applyFill="1" applyBorder="1" applyAlignment="1"/>
    <xf numFmtId="4" fontId="4" fillId="0" borderId="7" xfId="0" applyNumberFormat="1" applyFont="1" applyBorder="1"/>
    <xf numFmtId="0" fontId="0" fillId="0" borderId="7" xfId="0" applyFill="1" applyBorder="1" applyAlignment="1">
      <alignment horizontal="left"/>
    </xf>
    <xf numFmtId="0" fontId="7" fillId="0" borderId="7" xfId="0" applyFont="1" applyBorder="1"/>
    <xf numFmtId="166" fontId="4" fillId="0" borderId="0" xfId="0" applyNumberFormat="1" applyFont="1" applyFill="1" applyAlignment="1">
      <alignment horizontal="left"/>
    </xf>
    <xf numFmtId="167" fontId="4" fillId="0" borderId="7" xfId="0" applyNumberFormat="1" applyFont="1" applyBorder="1"/>
    <xf numFmtId="170" fontId="4" fillId="0" borderId="7" xfId="9" applyNumberFormat="1" applyFont="1" applyFill="1" applyBorder="1"/>
    <xf numFmtId="0" fontId="4" fillId="0" borderId="7" xfId="0" applyFont="1" applyBorder="1" applyAlignment="1">
      <alignment horizontal="left"/>
    </xf>
    <xf numFmtId="3" fontId="7" fillId="0" borderId="0" xfId="0" applyNumberFormat="1" applyFont="1" applyBorder="1"/>
    <xf numFmtId="0" fontId="0" fillId="0" borderId="7" xfId="0" applyFill="1" applyBorder="1"/>
    <xf numFmtId="164" fontId="4" fillId="0" borderId="7" xfId="9" applyNumberFormat="1" applyFont="1" applyBorder="1"/>
    <xf numFmtId="165" fontId="4" fillId="0" borderId="7" xfId="9" applyNumberFormat="1" applyFont="1" applyBorder="1"/>
    <xf numFmtId="14" fontId="6" fillId="0" borderId="0" xfId="0" applyNumberFormat="1" applyFont="1"/>
    <xf numFmtId="0" fontId="5" fillId="0" borderId="0" xfId="0" applyFont="1" applyAlignment="1">
      <alignment horizontal="left"/>
    </xf>
    <xf numFmtId="2" fontId="7" fillId="0" borderId="0" xfId="0" applyNumberFormat="1" applyFont="1" applyFill="1"/>
    <xf numFmtId="2" fontId="7" fillId="0" borderId="7" xfId="0" applyNumberFormat="1" applyFont="1" applyFill="1" applyBorder="1"/>
    <xf numFmtId="179" fontId="6" fillId="0" borderId="0" xfId="9" applyNumberFormat="1" applyFont="1"/>
    <xf numFmtId="166" fontId="10" fillId="0" borderId="0" xfId="0" applyNumberFormat="1" applyFont="1" applyFill="1" applyProtection="1"/>
    <xf numFmtId="166" fontId="4" fillId="0" borderId="0" xfId="0" applyNumberFormat="1" applyFont="1" applyFill="1" applyProtection="1"/>
    <xf numFmtId="0" fontId="4" fillId="0" borderId="0" xfId="0" applyFont="1" applyAlignment="1">
      <alignment horizontal="right"/>
    </xf>
    <xf numFmtId="166" fontId="7" fillId="0" borderId="0" xfId="0" applyNumberFormat="1" applyFont="1"/>
    <xf numFmtId="164" fontId="6" fillId="0" borderId="0" xfId="9" applyNumberFormat="1" applyFont="1" applyFill="1"/>
    <xf numFmtId="0" fontId="7" fillId="0" borderId="0" xfId="0" applyFont="1" applyFill="1"/>
    <xf numFmtId="166" fontId="0" fillId="0" borderId="6" xfId="0" applyNumberFormat="1" applyBorder="1" applyProtection="1"/>
    <xf numFmtId="166" fontId="6" fillId="0" borderId="7" xfId="0" applyNumberFormat="1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/>
    <xf numFmtId="170" fontId="0" fillId="0" borderId="0" xfId="9" applyNumberFormat="1" applyFont="1" applyFill="1" applyBorder="1"/>
    <xf numFmtId="164" fontId="12" fillId="0" borderId="0" xfId="0" applyNumberFormat="1" applyFont="1"/>
    <xf numFmtId="164" fontId="12" fillId="0" borderId="0" xfId="9" applyNumberFormat="1" applyFont="1" applyFill="1"/>
    <xf numFmtId="164" fontId="12" fillId="0" borderId="0" xfId="9" applyNumberFormat="1" applyFont="1"/>
    <xf numFmtId="165" fontId="12" fillId="0" borderId="0" xfId="9" applyNumberFormat="1" applyFont="1"/>
    <xf numFmtId="3" fontId="0" fillId="0" borderId="0" xfId="0" applyNumberFormat="1" applyFont="1" applyFill="1"/>
    <xf numFmtId="3" fontId="0" fillId="0" borderId="7" xfId="0" applyNumberFormat="1" applyFont="1" applyFill="1" applyBorder="1"/>
    <xf numFmtId="164" fontId="0" fillId="0" borderId="7" xfId="0" applyNumberFormat="1" applyFont="1" applyFill="1" applyBorder="1"/>
    <xf numFmtId="164" fontId="0" fillId="0" borderId="7" xfId="9" applyNumberFormat="1" applyFont="1" applyFill="1" applyBorder="1"/>
    <xf numFmtId="166" fontId="13" fillId="0" borderId="0" xfId="0" applyNumberFormat="1" applyFont="1" applyFill="1"/>
    <xf numFmtId="166" fontId="13" fillId="0" borderId="7" xfId="0" applyNumberFormat="1" applyFont="1" applyFill="1" applyBorder="1"/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0" xfId="0" applyNumberFormat="1" applyFont="1" applyFill="1" applyAlignment="1"/>
    <xf numFmtId="0" fontId="0" fillId="0" borderId="0" xfId="0" applyAlignment="1"/>
    <xf numFmtId="0" fontId="0" fillId="0" borderId="7" xfId="0" applyBorder="1" applyAlignment="1"/>
    <xf numFmtId="166" fontId="7" fillId="0" borderId="0" xfId="0" applyNumberFormat="1" applyFont="1" applyFill="1" applyBorder="1"/>
    <xf numFmtId="166" fontId="7" fillId="0" borderId="7" xfId="0" applyNumberFormat="1" applyFont="1" applyFill="1" applyBorder="1"/>
    <xf numFmtId="16" fontId="0" fillId="0" borderId="0" xfId="0" applyNumberFormat="1"/>
    <xf numFmtId="3" fontId="12" fillId="0" borderId="0" xfId="0" applyNumberFormat="1" applyFont="1" applyFill="1"/>
    <xf numFmtId="3" fontId="12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9" applyNumberFormat="1" applyFont="1" applyFill="1" applyBorder="1"/>
    <xf numFmtId="166" fontId="13" fillId="0" borderId="0" xfId="0" applyNumberFormat="1" applyFont="1" applyFill="1" applyBorder="1"/>
    <xf numFmtId="167" fontId="12" fillId="0" borderId="0" xfId="0" applyNumberFormat="1" applyFont="1" applyFill="1"/>
    <xf numFmtId="3" fontId="7" fillId="0" borderId="6" xfId="0" applyNumberFormat="1" applyFont="1" applyFill="1" applyBorder="1"/>
    <xf numFmtId="167" fontId="7" fillId="0" borderId="6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NumberFormat="1" applyBorder="1"/>
    <xf numFmtId="3" fontId="7" fillId="0" borderId="0" xfId="0" applyNumberFormat="1" applyFont="1" applyFill="1" applyBorder="1" applyAlignment="1"/>
    <xf numFmtId="167" fontId="4" fillId="0" borderId="0" xfId="0" applyNumberFormat="1" applyFont="1" applyBorder="1"/>
    <xf numFmtId="4" fontId="0" fillId="0" borderId="0" xfId="0" applyNumberFormat="1" applyFont="1" applyBorder="1"/>
    <xf numFmtId="4" fontId="4" fillId="0" borderId="0" xfId="0" applyNumberFormat="1" applyFont="1" applyBorder="1"/>
    <xf numFmtId="0" fontId="4" fillId="0" borderId="0" xfId="0" quotePrefix="1" applyFont="1" applyBorder="1"/>
    <xf numFmtId="4" fontId="0" fillId="0" borderId="0" xfId="0" applyNumberFormat="1" applyProtection="1"/>
    <xf numFmtId="3" fontId="12" fillId="0" borderId="0" xfId="0" applyNumberFormat="1" applyFont="1" applyFill="1" applyAlignment="1">
      <alignment horizontal="left"/>
    </xf>
    <xf numFmtId="0" fontId="12" fillId="0" borderId="0" xfId="0" applyFont="1"/>
    <xf numFmtId="0" fontId="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3" fontId="12" fillId="0" borderId="0" xfId="0" applyNumberFormat="1" applyFont="1"/>
    <xf numFmtId="0" fontId="5" fillId="0" borderId="0" xfId="0" applyFont="1" applyFill="1" applyAlignment="1">
      <alignment horizontal="left"/>
    </xf>
    <xf numFmtId="0" fontId="12" fillId="0" borderId="0" xfId="0" applyFont="1" applyFill="1"/>
    <xf numFmtId="166" fontId="7" fillId="0" borderId="0" xfId="0" applyNumberFormat="1" applyFont="1" applyFill="1"/>
    <xf numFmtId="166" fontId="7" fillId="0" borderId="0" xfId="0" applyNumberFormat="1" applyFont="1" applyBorder="1"/>
    <xf numFmtId="14" fontId="4" fillId="0" borderId="0" xfId="0" applyNumberFormat="1" applyFont="1" applyAlignment="1">
      <alignment horizontal="right"/>
    </xf>
    <xf numFmtId="0" fontId="0" fillId="0" borderId="0" xfId="0" applyFill="1" applyAlignment="1"/>
    <xf numFmtId="49" fontId="0" fillId="0" borderId="0" xfId="0" applyNumberFormat="1" applyFill="1" applyAlignment="1"/>
    <xf numFmtId="0" fontId="0" fillId="0" borderId="0" xfId="0" applyNumberFormat="1" applyAlignment="1">
      <alignment horizontal="left"/>
    </xf>
    <xf numFmtId="180" fontId="0" fillId="0" borderId="0" xfId="0" quotePrefix="1" applyNumberFormat="1" applyAlignment="1">
      <alignment horizontal="left"/>
    </xf>
    <xf numFmtId="3" fontId="14" fillId="0" borderId="0" xfId="0" applyNumberFormat="1" applyFont="1" applyFill="1"/>
    <xf numFmtId="164" fontId="7" fillId="0" borderId="0" xfId="0" applyNumberFormat="1" applyFont="1" applyFill="1" applyBorder="1"/>
    <xf numFmtId="3" fontId="12" fillId="0" borderId="7" xfId="0" applyNumberFormat="1" applyFont="1" applyFill="1" applyBorder="1"/>
    <xf numFmtId="164" fontId="12" fillId="0" borderId="7" xfId="9" applyNumberFormat="1" applyFont="1" applyFill="1" applyBorder="1"/>
    <xf numFmtId="14" fontId="12" fillId="0" borderId="0" xfId="0" applyNumberFormat="1" applyFont="1" applyProtection="1"/>
    <xf numFmtId="14" fontId="12" fillId="0" borderId="0" xfId="0" applyNumberFormat="1" applyFont="1" applyFill="1" applyProtection="1">
      <protection locked="0"/>
    </xf>
    <xf numFmtId="14" fontId="12" fillId="0" borderId="0" xfId="0" applyNumberFormat="1" applyFont="1" applyFill="1" applyProtection="1"/>
    <xf numFmtId="1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181" fontId="4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178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166" fontId="0" fillId="0" borderId="0" xfId="0" applyNumberFormat="1" applyBorder="1" applyAlignment="1">
      <alignment horizontal="left"/>
    </xf>
    <xf numFmtId="171" fontId="0" fillId="0" borderId="0" xfId="0" applyNumberFormat="1" applyFont="1"/>
    <xf numFmtId="171" fontId="4" fillId="0" borderId="0" xfId="0" applyNumberFormat="1" applyFont="1"/>
    <xf numFmtId="171" fontId="0" fillId="0" borderId="0" xfId="0" applyNumberFormat="1" applyBorder="1"/>
    <xf numFmtId="171" fontId="0" fillId="0" borderId="0" xfId="0" applyNumberFormat="1" applyFont="1" applyFill="1" applyAlignment="1"/>
    <xf numFmtId="0" fontId="14" fillId="0" borderId="0" xfId="0" quotePrefix="1" applyFont="1"/>
    <xf numFmtId="164" fontId="14" fillId="0" borderId="0" xfId="0" quotePrefix="1" applyNumberFormat="1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Border="1"/>
    <xf numFmtId="167" fontId="4" fillId="0" borderId="0" xfId="0" applyNumberFormat="1" applyFont="1" applyFill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7" xfId="0" applyNumberFormat="1" applyFont="1" applyFill="1" applyBorder="1" applyAlignment="1">
      <alignment horizontal="left"/>
    </xf>
    <xf numFmtId="0" fontId="0" fillId="0" borderId="6" xfId="0" applyFill="1" applyBorder="1"/>
    <xf numFmtId="0" fontId="12" fillId="0" borderId="0" xfId="0" applyFont="1" applyFill="1" applyAlignment="1">
      <alignment horizontal="left"/>
    </xf>
    <xf numFmtId="0" fontId="4" fillId="0" borderId="7" xfId="0" applyFont="1" applyFill="1" applyBorder="1"/>
    <xf numFmtId="0" fontId="0" fillId="0" borderId="7" xfId="0" applyBorder="1" applyProtection="1">
      <protection locked="0"/>
    </xf>
    <xf numFmtId="166" fontId="4" fillId="0" borderId="0" xfId="0" applyNumberFormat="1" applyFont="1" applyFill="1" applyAlignment="1">
      <alignment horizontal="center"/>
    </xf>
    <xf numFmtId="4" fontId="0" fillId="0" borderId="0" xfId="0" applyNumberFormat="1" applyAlignment="1" applyProtection="1">
      <alignment horizontal="center"/>
    </xf>
    <xf numFmtId="4" fontId="4" fillId="0" borderId="0" xfId="0" applyNumberFormat="1" applyFont="1" applyFill="1" applyAlignment="1" applyProtection="1">
      <alignment horizontal="center"/>
    </xf>
    <xf numFmtId="164" fontId="6" fillId="0" borderId="6" xfId="0" applyNumberFormat="1" applyFont="1" applyBorder="1"/>
    <xf numFmtId="3" fontId="15" fillId="0" borderId="0" xfId="0" applyNumberFormat="1" applyFont="1" applyFill="1" applyAlignment="1"/>
    <xf numFmtId="166" fontId="4" fillId="0" borderId="7" xfId="0" applyNumberFormat="1" applyFont="1" applyFill="1" applyBorder="1" applyAlignment="1">
      <alignment horizontal="center"/>
    </xf>
    <xf numFmtId="3" fontId="7" fillId="0" borderId="6" xfId="0" applyNumberFormat="1" applyFont="1" applyBorder="1"/>
    <xf numFmtId="166" fontId="7" fillId="0" borderId="6" xfId="0" applyNumberFormat="1" applyFont="1" applyBorder="1"/>
    <xf numFmtId="14" fontId="5" fillId="0" borderId="0" xfId="0" applyNumberFormat="1" applyFont="1" applyFill="1" applyAlignment="1">
      <alignment horizontal="left"/>
    </xf>
    <xf numFmtId="165" fontId="4" fillId="0" borderId="0" xfId="9" applyNumberFormat="1" applyFont="1" applyFill="1"/>
    <xf numFmtId="14" fontId="4" fillId="0" borderId="0" xfId="0" applyNumberFormat="1" applyFont="1" applyAlignment="1">
      <alignment horizont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3" borderId="0" xfId="0" applyFill="1"/>
    <xf numFmtId="14" fontId="5" fillId="3" borderId="0" xfId="0" applyNumberFormat="1" applyFont="1" applyFill="1"/>
    <xf numFmtId="14" fontId="6" fillId="3" borderId="0" xfId="0" applyNumberFormat="1" applyFont="1" applyFill="1"/>
    <xf numFmtId="43" fontId="0" fillId="0" borderId="0" xfId="1" applyFont="1"/>
    <xf numFmtId="169" fontId="6" fillId="0" borderId="0" xfId="0" applyNumberFormat="1" applyFont="1" applyFill="1"/>
    <xf numFmtId="0" fontId="14" fillId="0" borderId="0" xfId="0" applyFont="1" applyFill="1"/>
    <xf numFmtId="0" fontId="0" fillId="0" borderId="0" xfId="0" quotePrefix="1" applyFill="1" applyAlignment="1">
      <alignment horizontal="center"/>
    </xf>
    <xf numFmtId="0" fontId="0" fillId="0" borderId="7" xfId="0" applyFont="1" applyBorder="1"/>
    <xf numFmtId="37" fontId="0" fillId="0" borderId="0" xfId="1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Font="1"/>
    <xf numFmtId="3" fontId="0" fillId="0" borderId="0" xfId="0" applyNumberFormat="1" applyFont="1"/>
    <xf numFmtId="0" fontId="2" fillId="0" borderId="7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left"/>
    </xf>
    <xf numFmtId="182" fontId="0" fillId="0" borderId="0" xfId="1" applyNumberFormat="1" applyFont="1"/>
    <xf numFmtId="182" fontId="0" fillId="0" borderId="0" xfId="1" applyNumberFormat="1" applyFont="1" applyBorder="1"/>
    <xf numFmtId="0" fontId="0" fillId="2" borderId="10" xfId="0" applyFill="1" applyBorder="1"/>
    <xf numFmtId="0" fontId="0" fillId="2" borderId="12" xfId="0" applyFill="1" applyBorder="1"/>
    <xf numFmtId="0" fontId="0" fillId="2" borderId="16" xfId="0" applyFill="1" applyBorder="1"/>
    <xf numFmtId="0" fontId="0" fillId="0" borderId="0" xfId="0" applyBorder="1" applyAlignment="1">
      <alignment horizontal="right"/>
    </xf>
    <xf numFmtId="0" fontId="0" fillId="2" borderId="0" xfId="0" applyFill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487680</xdr:colOff>
      <xdr:row>28</xdr:row>
      <xdr:rowOff>85725</xdr:rowOff>
    </xdr:from>
    <xdr:ext cx="223622" cy="2733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12EECE-2859-4A07-98C9-3E594815E6F3}"/>
            </a:ext>
          </a:extLst>
        </xdr:cNvPr>
        <xdr:cNvSpPr txBox="1"/>
      </xdr:nvSpPr>
      <xdr:spPr>
        <a:xfrm>
          <a:off x="8193405" y="4139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8%20Residential%20Indications%20-%20Ed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9%20Data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9%20Commercial%20Ind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J1" t="str">
            <v>Exhibit 11</v>
          </cell>
        </row>
        <row r="2">
          <cell r="J2" t="str">
            <v>Sheet 1</v>
          </cell>
        </row>
      </sheetData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</sheetNames>
    <sheetDataSet>
      <sheetData sheetId="0">
        <row r="1">
          <cell r="E1">
            <v>43465</v>
          </cell>
        </row>
        <row r="39">
          <cell r="Z39">
            <v>1.0686829029288312</v>
          </cell>
        </row>
      </sheetData>
      <sheetData sheetId="1"/>
      <sheetData sheetId="2">
        <row r="1">
          <cell r="E1">
            <v>43373</v>
          </cell>
        </row>
        <row r="2">
          <cell r="E2">
            <v>43465</v>
          </cell>
        </row>
        <row r="23">
          <cell r="O23">
            <v>80844468</v>
          </cell>
          <cell r="P23">
            <v>43977111</v>
          </cell>
          <cell r="Q23">
            <v>116551972</v>
          </cell>
          <cell r="R23">
            <v>2218368</v>
          </cell>
        </row>
        <row r="24">
          <cell r="O24">
            <v>88599807</v>
          </cell>
          <cell r="P24">
            <v>49048919</v>
          </cell>
          <cell r="Q24">
            <v>131679293</v>
          </cell>
          <cell r="R24">
            <v>2562327</v>
          </cell>
        </row>
        <row r="25">
          <cell r="O25">
            <v>92287441</v>
          </cell>
          <cell r="P25">
            <v>50547302</v>
          </cell>
          <cell r="Q25">
            <v>140621661</v>
          </cell>
          <cell r="R25">
            <v>2825372</v>
          </cell>
        </row>
        <row r="26">
          <cell r="O26">
            <v>98605959</v>
          </cell>
          <cell r="P26">
            <v>53841760</v>
          </cell>
          <cell r="Q26">
            <v>160031435</v>
          </cell>
          <cell r="R26">
            <v>3294072</v>
          </cell>
        </row>
        <row r="27">
          <cell r="O27">
            <v>105941027</v>
          </cell>
          <cell r="P27">
            <v>57427564</v>
          </cell>
          <cell r="Q27">
            <v>173209952</v>
          </cell>
          <cell r="R27">
            <v>3672814</v>
          </cell>
        </row>
        <row r="28">
          <cell r="O28">
            <v>113521698</v>
          </cell>
          <cell r="P28">
            <v>62828148</v>
          </cell>
          <cell r="Q28">
            <v>187152484</v>
          </cell>
          <cell r="R28">
            <v>3920276</v>
          </cell>
        </row>
        <row r="29">
          <cell r="O29">
            <v>121221015</v>
          </cell>
          <cell r="P29">
            <v>68716114</v>
          </cell>
          <cell r="Q29">
            <v>200595693</v>
          </cell>
          <cell r="R29">
            <v>4202726</v>
          </cell>
        </row>
        <row r="30">
          <cell r="O30">
            <v>123942872</v>
          </cell>
          <cell r="P30">
            <v>71234774</v>
          </cell>
          <cell r="Q30">
            <v>200978477</v>
          </cell>
          <cell r="R30">
            <v>4436708</v>
          </cell>
        </row>
        <row r="31">
          <cell r="O31">
            <v>120650271</v>
          </cell>
          <cell r="P31">
            <v>69126281</v>
          </cell>
          <cell r="Q31">
            <v>188554673</v>
          </cell>
          <cell r="R31">
            <v>4435808</v>
          </cell>
        </row>
        <row r="32">
          <cell r="O32">
            <v>112717188</v>
          </cell>
          <cell r="P32">
            <v>63899693</v>
          </cell>
          <cell r="Q32">
            <v>166829909</v>
          </cell>
          <cell r="R32">
            <v>4301050</v>
          </cell>
        </row>
        <row r="33">
          <cell r="O33">
            <v>8645207.9953246601</v>
          </cell>
          <cell r="P33">
            <v>4065189.7500367444</v>
          </cell>
          <cell r="Q33">
            <v>8287605.1148678511</v>
          </cell>
          <cell r="R33">
            <v>25239134</v>
          </cell>
          <cell r="S33">
            <v>46237136.860229254</v>
          </cell>
          <cell r="U33">
            <v>13225286.939999998</v>
          </cell>
          <cell r="V33">
            <v>1367254.0699999901</v>
          </cell>
          <cell r="W33">
            <v>22444043.9799999</v>
          </cell>
          <cell r="X33">
            <v>10178608</v>
          </cell>
        </row>
        <row r="34">
          <cell r="O34">
            <v>5826466.6888902895</v>
          </cell>
          <cell r="P34">
            <v>3907711.7768190652</v>
          </cell>
          <cell r="Q34">
            <v>8059406.7247919338</v>
          </cell>
          <cell r="R34">
            <v>26718986.999999989</v>
          </cell>
          <cell r="S34">
            <v>44512572.190501273</v>
          </cell>
          <cell r="U34">
            <v>180484.07</v>
          </cell>
          <cell r="V34">
            <v>1170577.6100000001</v>
          </cell>
          <cell r="W34">
            <v>1625107.7899999989</v>
          </cell>
          <cell r="X34">
            <v>12221034</v>
          </cell>
        </row>
        <row r="35">
          <cell r="O35">
            <v>5825915.9799037296</v>
          </cell>
          <cell r="P35">
            <v>4552394.5717778523</v>
          </cell>
          <cell r="Q35">
            <v>8448603.4214781895</v>
          </cell>
          <cell r="R35">
            <v>31914206</v>
          </cell>
          <cell r="S35">
            <v>50741119.973159775</v>
          </cell>
          <cell r="U35">
            <v>1900088.189999999</v>
          </cell>
          <cell r="V35">
            <v>1312776.429999999</v>
          </cell>
          <cell r="W35">
            <v>1776572.409999999</v>
          </cell>
          <cell r="X35">
            <v>17910197</v>
          </cell>
        </row>
        <row r="36">
          <cell r="O36">
            <v>6996873.8393279798</v>
          </cell>
          <cell r="P36">
            <v>5710806.31582803</v>
          </cell>
          <cell r="Q36">
            <v>9743293.14213733</v>
          </cell>
          <cell r="R36">
            <v>35133612</v>
          </cell>
          <cell r="S36">
            <v>57584585.297293335</v>
          </cell>
          <cell r="U36">
            <v>420037.679999999</v>
          </cell>
          <cell r="V36">
            <v>856368.79999999795</v>
          </cell>
          <cell r="W36">
            <v>1637914.6199999992</v>
          </cell>
          <cell r="X36">
            <v>6968697</v>
          </cell>
        </row>
        <row r="37">
          <cell r="O37">
            <v>8737576.0959496386</v>
          </cell>
          <cell r="P37">
            <v>6908551.5027387999</v>
          </cell>
          <cell r="Q37">
            <v>10745994.710252099</v>
          </cell>
          <cell r="R37">
            <v>34347927</v>
          </cell>
          <cell r="S37">
            <v>60740049.308940537</v>
          </cell>
          <cell r="U37">
            <v>644169</v>
          </cell>
          <cell r="V37">
            <v>1552987</v>
          </cell>
          <cell r="W37">
            <v>2416675</v>
          </cell>
          <cell r="X37">
            <v>20240594</v>
          </cell>
        </row>
        <row r="38">
          <cell r="O38">
            <v>11652672.33924751</v>
          </cell>
          <cell r="P38">
            <v>8568167.9449975695</v>
          </cell>
          <cell r="Q38">
            <v>13294968.250411501</v>
          </cell>
          <cell r="R38">
            <v>38349763.638891585</v>
          </cell>
          <cell r="S38">
            <v>71865572.173548162</v>
          </cell>
          <cell r="U38">
            <v>406004</v>
          </cell>
          <cell r="V38">
            <v>1061115</v>
          </cell>
          <cell r="W38">
            <v>1520229</v>
          </cell>
          <cell r="X38">
            <v>9046495</v>
          </cell>
        </row>
        <row r="39">
          <cell r="O39">
            <v>12573252.045386501</v>
          </cell>
          <cell r="P39">
            <v>8425344.4375255406</v>
          </cell>
          <cell r="Q39">
            <v>15708220.143906999</v>
          </cell>
          <cell r="R39">
            <v>42447730.530345351</v>
          </cell>
          <cell r="S39">
            <v>79154547.157164395</v>
          </cell>
          <cell r="U39">
            <v>573343</v>
          </cell>
          <cell r="V39">
            <v>882561</v>
          </cell>
          <cell r="W39">
            <v>2569544</v>
          </cell>
          <cell r="X39">
            <v>8514675</v>
          </cell>
        </row>
        <row r="40">
          <cell r="O40">
            <v>13838930.147333838</v>
          </cell>
          <cell r="P40">
            <v>8803621.2708639689</v>
          </cell>
          <cell r="Q40">
            <v>16168136.035215829</v>
          </cell>
          <cell r="R40">
            <v>41427572.085624166</v>
          </cell>
          <cell r="S40">
            <v>80238259.539037794</v>
          </cell>
          <cell r="U40">
            <v>6371206</v>
          </cell>
          <cell r="V40">
            <v>2289890</v>
          </cell>
          <cell r="W40">
            <v>10312506</v>
          </cell>
          <cell r="X40">
            <v>10127907</v>
          </cell>
        </row>
        <row r="41">
          <cell r="O41">
            <v>14103814.475361705</v>
          </cell>
          <cell r="P41">
            <v>8465255.5940993298</v>
          </cell>
          <cell r="Q41">
            <v>14452666.932483979</v>
          </cell>
          <cell r="R41">
            <v>34004814.583080493</v>
          </cell>
          <cell r="S41">
            <v>71026551.585025504</v>
          </cell>
          <cell r="U41">
            <v>742130</v>
          </cell>
          <cell r="V41">
            <v>3778386</v>
          </cell>
          <cell r="W41">
            <v>3655754</v>
          </cell>
          <cell r="X41">
            <v>8680187</v>
          </cell>
        </row>
        <row r="42">
          <cell r="O42">
            <v>15784217.73365989</v>
          </cell>
          <cell r="P42">
            <v>8437094.0914586708</v>
          </cell>
          <cell r="Q42">
            <v>14453384.88868602</v>
          </cell>
          <cell r="R42">
            <v>36439477.252283514</v>
          </cell>
          <cell r="S42">
            <v>75114173.966088086</v>
          </cell>
          <cell r="U42">
            <v>324948</v>
          </cell>
          <cell r="V42">
            <v>485581</v>
          </cell>
          <cell r="W42">
            <v>3332580</v>
          </cell>
          <cell r="X42">
            <v>9518422</v>
          </cell>
        </row>
        <row r="43">
          <cell r="O43">
            <v>17776665.907286998</v>
          </cell>
          <cell r="P43">
            <v>8894551.5983342491</v>
          </cell>
          <cell r="Q43">
            <v>15173521.372718498</v>
          </cell>
          <cell r="R43">
            <v>32881662.327381182</v>
          </cell>
          <cell r="S43">
            <v>74726401.205720931</v>
          </cell>
          <cell r="U43">
            <v>1947817</v>
          </cell>
          <cell r="V43">
            <v>1394445</v>
          </cell>
          <cell r="W43">
            <v>2426814</v>
          </cell>
          <cell r="X43">
            <v>23547404</v>
          </cell>
        </row>
        <row r="44">
          <cell r="O44">
            <v>20514469</v>
          </cell>
          <cell r="P44">
            <v>10534795</v>
          </cell>
          <cell r="Q44">
            <v>17843905</v>
          </cell>
          <cell r="R44">
            <v>37396181</v>
          </cell>
          <cell r="S44">
            <v>86289350</v>
          </cell>
          <cell r="U44">
            <v>10059284</v>
          </cell>
          <cell r="V44">
            <v>1227528</v>
          </cell>
          <cell r="W44">
            <v>5925066</v>
          </cell>
          <cell r="X44">
            <v>7950367</v>
          </cell>
        </row>
        <row r="45">
          <cell r="O45">
            <v>25868450</v>
          </cell>
          <cell r="P45">
            <v>13881847</v>
          </cell>
          <cell r="Q45">
            <v>23423208</v>
          </cell>
          <cell r="R45">
            <v>49027236</v>
          </cell>
          <cell r="S45">
            <v>112200741</v>
          </cell>
          <cell r="U45">
            <v>2672918</v>
          </cell>
          <cell r="V45">
            <v>2295803</v>
          </cell>
          <cell r="W45">
            <v>17213668</v>
          </cell>
          <cell r="X45">
            <v>10177909</v>
          </cell>
        </row>
        <row r="46">
          <cell r="O46">
            <v>30357860</v>
          </cell>
          <cell r="P46">
            <v>15458506</v>
          </cell>
          <cell r="Q46">
            <v>27306202</v>
          </cell>
          <cell r="R46">
            <v>49927649</v>
          </cell>
          <cell r="S46">
            <v>123050217</v>
          </cell>
          <cell r="U46">
            <v>731759</v>
          </cell>
          <cell r="V46">
            <v>569877</v>
          </cell>
          <cell r="W46">
            <v>990613</v>
          </cell>
          <cell r="X46">
            <v>3738542</v>
          </cell>
        </row>
        <row r="47">
          <cell r="O47">
            <v>36780457</v>
          </cell>
          <cell r="P47">
            <v>17471646</v>
          </cell>
          <cell r="Q47">
            <v>31012304</v>
          </cell>
          <cell r="R47">
            <v>50116517</v>
          </cell>
          <cell r="S47">
            <v>135380924</v>
          </cell>
          <cell r="U47">
            <v>34527644</v>
          </cell>
          <cell r="V47">
            <v>872451</v>
          </cell>
          <cell r="W47">
            <v>115989785</v>
          </cell>
          <cell r="X47">
            <v>34201898</v>
          </cell>
        </row>
        <row r="48">
          <cell r="O48">
            <v>43562211</v>
          </cell>
          <cell r="P48">
            <v>19888512</v>
          </cell>
          <cell r="Q48">
            <v>36545725</v>
          </cell>
          <cell r="R48">
            <v>54703319</v>
          </cell>
          <cell r="S48">
            <v>154699767</v>
          </cell>
          <cell r="U48">
            <v>813430</v>
          </cell>
          <cell r="V48">
            <v>621501</v>
          </cell>
          <cell r="W48">
            <v>1842548</v>
          </cell>
          <cell r="X48">
            <v>4909932</v>
          </cell>
        </row>
        <row r="49">
          <cell r="O49">
            <v>59282257</v>
          </cell>
          <cell r="P49">
            <v>29704042</v>
          </cell>
          <cell r="Q49">
            <v>69945120</v>
          </cell>
          <cell r="R49">
            <v>60982886</v>
          </cell>
          <cell r="S49">
            <v>219914305</v>
          </cell>
          <cell r="U49">
            <v>2757645</v>
          </cell>
          <cell r="V49">
            <v>833793</v>
          </cell>
          <cell r="W49">
            <v>10105722</v>
          </cell>
          <cell r="X49">
            <v>5242698</v>
          </cell>
        </row>
        <row r="50">
          <cell r="O50">
            <v>73789694</v>
          </cell>
          <cell r="P50">
            <v>40565108</v>
          </cell>
          <cell r="Q50">
            <v>110187567</v>
          </cell>
          <cell r="R50">
            <v>65015817</v>
          </cell>
          <cell r="S50">
            <v>289558186</v>
          </cell>
          <cell r="U50">
            <v>1052325077</v>
          </cell>
          <cell r="V50">
            <v>1468028</v>
          </cell>
          <cell r="W50">
            <v>694640836</v>
          </cell>
          <cell r="X50">
            <v>448708416</v>
          </cell>
        </row>
        <row r="51">
          <cell r="O51">
            <v>81999709</v>
          </cell>
          <cell r="P51">
            <v>46363445</v>
          </cell>
          <cell r="Q51">
            <v>128275387</v>
          </cell>
          <cell r="R51">
            <v>70667217</v>
          </cell>
          <cell r="S51">
            <v>327305758</v>
          </cell>
          <cell r="U51">
            <v>3581024</v>
          </cell>
          <cell r="V51">
            <v>615469</v>
          </cell>
          <cell r="W51">
            <v>2522159</v>
          </cell>
          <cell r="X51">
            <v>9952501</v>
          </cell>
        </row>
        <row r="52">
          <cell r="O52">
            <v>89665314</v>
          </cell>
          <cell r="P52">
            <v>51529115</v>
          </cell>
          <cell r="Q52">
            <v>143236007</v>
          </cell>
          <cell r="R52">
            <v>70788779</v>
          </cell>
          <cell r="S52">
            <v>355219215</v>
          </cell>
          <cell r="U52">
            <v>1451547</v>
          </cell>
          <cell r="V52">
            <v>4059049</v>
          </cell>
          <cell r="W52">
            <v>9656553</v>
          </cell>
          <cell r="X52">
            <v>10826541</v>
          </cell>
        </row>
        <row r="53">
          <cell r="O53">
            <v>93230854</v>
          </cell>
          <cell r="P53">
            <v>52931755</v>
          </cell>
          <cell r="Q53">
            <v>151387931</v>
          </cell>
          <cell r="R53">
            <v>73325323</v>
          </cell>
          <cell r="S53">
            <v>370875863</v>
          </cell>
          <cell r="U53">
            <v>1329886</v>
          </cell>
          <cell r="V53">
            <v>19843778</v>
          </cell>
          <cell r="W53">
            <v>59069922</v>
          </cell>
          <cell r="X53">
            <v>5992356</v>
          </cell>
        </row>
        <row r="54">
          <cell r="O54">
            <v>99629727</v>
          </cell>
          <cell r="P54">
            <v>56334273</v>
          </cell>
          <cell r="Q54">
            <v>170159709</v>
          </cell>
          <cell r="R54">
            <v>80858142</v>
          </cell>
          <cell r="S54">
            <v>406981851</v>
          </cell>
          <cell r="U54">
            <v>10756644</v>
          </cell>
          <cell r="V54">
            <v>21286940</v>
          </cell>
          <cell r="W54">
            <v>21172040</v>
          </cell>
          <cell r="X54">
            <v>89876917</v>
          </cell>
        </row>
        <row r="55">
          <cell r="O55">
            <v>107104250</v>
          </cell>
          <cell r="P55">
            <v>60101696</v>
          </cell>
          <cell r="Q55">
            <v>183495510</v>
          </cell>
          <cell r="R55">
            <v>90250703</v>
          </cell>
          <cell r="S55">
            <v>440952159</v>
          </cell>
          <cell r="U55">
            <v>54316145</v>
          </cell>
          <cell r="V55">
            <v>6825640</v>
          </cell>
          <cell r="W55">
            <v>6488552</v>
          </cell>
          <cell r="X55">
            <v>22049904</v>
          </cell>
        </row>
        <row r="56">
          <cell r="O56">
            <v>114784032</v>
          </cell>
          <cell r="P56">
            <v>65642137</v>
          </cell>
          <cell r="Q56">
            <v>197640983</v>
          </cell>
          <cell r="R56">
            <v>99916064</v>
          </cell>
          <cell r="S56">
            <v>477983216</v>
          </cell>
          <cell r="U56">
            <v>691708</v>
          </cell>
          <cell r="V56">
            <v>1913725</v>
          </cell>
          <cell r="W56">
            <v>7195229</v>
          </cell>
          <cell r="X56">
            <v>20906458</v>
          </cell>
        </row>
        <row r="57">
          <cell r="O57">
            <v>122782019</v>
          </cell>
          <cell r="P57">
            <v>72124134</v>
          </cell>
          <cell r="Q57">
            <v>212320998</v>
          </cell>
          <cell r="R57">
            <v>110352614</v>
          </cell>
          <cell r="S57">
            <v>517579765</v>
          </cell>
          <cell r="U57">
            <v>17655480</v>
          </cell>
          <cell r="V57">
            <v>9932478</v>
          </cell>
          <cell r="W57">
            <v>89893014</v>
          </cell>
          <cell r="X57">
            <v>43880545</v>
          </cell>
        </row>
        <row r="58">
          <cell r="O58">
            <v>127007324</v>
          </cell>
          <cell r="P58">
            <v>76436084</v>
          </cell>
          <cell r="Q58">
            <v>218795204</v>
          </cell>
          <cell r="R58">
            <v>119744188</v>
          </cell>
          <cell r="S58">
            <v>541982800</v>
          </cell>
          <cell r="U58">
            <v>11289476</v>
          </cell>
          <cell r="V58">
            <v>10418298</v>
          </cell>
          <cell r="W58">
            <v>14998519</v>
          </cell>
          <cell r="X58">
            <v>46061809</v>
          </cell>
        </row>
        <row r="59">
          <cell r="O59">
            <v>126002753</v>
          </cell>
          <cell r="P59">
            <v>77008517</v>
          </cell>
          <cell r="Q59">
            <v>212533686</v>
          </cell>
          <cell r="R59">
            <v>117739636</v>
          </cell>
          <cell r="S59">
            <v>533284592</v>
          </cell>
          <cell r="U59">
            <v>38944566</v>
          </cell>
          <cell r="V59">
            <v>259698732</v>
          </cell>
          <cell r="W59">
            <v>676342414</v>
          </cell>
          <cell r="X59">
            <v>72170328</v>
          </cell>
        </row>
        <row r="60">
          <cell r="O60">
            <v>122707420</v>
          </cell>
          <cell r="Q60">
            <v>201512669</v>
          </cell>
          <cell r="R60">
            <v>115499554</v>
          </cell>
          <cell r="S60">
            <v>516750480</v>
          </cell>
          <cell r="U60">
            <v>2791799</v>
          </cell>
          <cell r="V60">
            <v>1542253</v>
          </cell>
          <cell r="W60">
            <v>8373757</v>
          </cell>
          <cell r="X60">
            <v>10839197</v>
          </cell>
        </row>
      </sheetData>
      <sheetData sheetId="3">
        <row r="1">
          <cell r="E1">
            <v>43373</v>
          </cell>
        </row>
        <row r="2">
          <cell r="E2">
            <v>43465</v>
          </cell>
        </row>
        <row r="24"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3455233</v>
          </cell>
          <cell r="Y24">
            <v>536746</v>
          </cell>
          <cell r="Z24">
            <v>1977943</v>
          </cell>
          <cell r="AA24">
            <v>551702</v>
          </cell>
        </row>
        <row r="25">
          <cell r="S25">
            <v>0</v>
          </cell>
          <cell r="T25">
            <v>187854</v>
          </cell>
          <cell r="U25">
            <v>1063585</v>
          </cell>
          <cell r="V25">
            <v>0</v>
          </cell>
          <cell r="X25">
            <v>1264721</v>
          </cell>
          <cell r="Y25">
            <v>3445556</v>
          </cell>
          <cell r="Z25">
            <v>6663982</v>
          </cell>
          <cell r="AA25">
            <v>182872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1277401</v>
          </cell>
          <cell r="Y26">
            <v>19199535</v>
          </cell>
          <cell r="Z26">
            <v>56124736</v>
          </cell>
          <cell r="AA26">
            <v>54382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X27">
            <v>10634874</v>
          </cell>
          <cell r="Y27">
            <v>20626638</v>
          </cell>
          <cell r="Z27">
            <v>18946421</v>
          </cell>
          <cell r="AA27">
            <v>259290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54058418</v>
          </cell>
          <cell r="Y28">
            <v>6175709</v>
          </cell>
          <cell r="Z28">
            <v>4828213</v>
          </cell>
          <cell r="AA28">
            <v>502759</v>
          </cell>
        </row>
        <row r="29"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520624</v>
          </cell>
          <cell r="Y29">
            <v>1617725</v>
          </cell>
          <cell r="Z29">
            <v>2844586</v>
          </cell>
          <cell r="AA29">
            <v>30748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17432597</v>
          </cell>
          <cell r="Y30">
            <v>9404508</v>
          </cell>
          <cell r="Z30">
            <v>86349948</v>
          </cell>
          <cell r="AA30">
            <v>322838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10964824</v>
          </cell>
          <cell r="Y31">
            <v>9521301</v>
          </cell>
          <cell r="Z31">
            <v>12153391</v>
          </cell>
          <cell r="AA31">
            <v>446449</v>
          </cell>
        </row>
        <row r="32">
          <cell r="S32">
            <v>32992606</v>
          </cell>
          <cell r="T32">
            <v>226922149</v>
          </cell>
          <cell r="U32">
            <v>576082050</v>
          </cell>
          <cell r="V32">
            <v>3162101</v>
          </cell>
          <cell r="X32">
            <v>2530528</v>
          </cell>
          <cell r="Y32">
            <v>7579676</v>
          </cell>
          <cell r="Z32">
            <v>21675933</v>
          </cell>
          <cell r="AA32">
            <v>481121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2051189</v>
          </cell>
          <cell r="Y33">
            <v>962096</v>
          </cell>
          <cell r="Z33">
            <v>5739613</v>
          </cell>
          <cell r="AA33">
            <v>239529</v>
          </cell>
        </row>
      </sheetData>
      <sheetData sheetId="4">
        <row r="1">
          <cell r="C1">
            <v>43434</v>
          </cell>
        </row>
        <row r="5">
          <cell r="F5">
            <v>1598460944</v>
          </cell>
          <cell r="L5">
            <v>3824085</v>
          </cell>
        </row>
        <row r="6">
          <cell r="F6">
            <v>10497827531</v>
          </cell>
          <cell r="L6">
            <v>17743716</v>
          </cell>
        </row>
        <row r="7">
          <cell r="F7">
            <v>884696281</v>
          </cell>
          <cell r="L7">
            <v>3230254</v>
          </cell>
        </row>
        <row r="8">
          <cell r="F8">
            <v>2423052545</v>
          </cell>
          <cell r="L8">
            <v>4824412</v>
          </cell>
        </row>
        <row r="9">
          <cell r="F9">
            <v>1499444143</v>
          </cell>
          <cell r="L9">
            <v>2473031</v>
          </cell>
        </row>
        <row r="10">
          <cell r="F10">
            <v>18651385859</v>
          </cell>
          <cell r="L10">
            <v>58801343</v>
          </cell>
        </row>
        <row r="11">
          <cell r="F11">
            <v>1080645111</v>
          </cell>
          <cell r="L11">
            <v>3115175</v>
          </cell>
        </row>
        <row r="12">
          <cell r="F12">
            <v>6663166998</v>
          </cell>
          <cell r="L12">
            <v>12754371</v>
          </cell>
        </row>
        <row r="13">
          <cell r="F13">
            <v>5620100</v>
          </cell>
          <cell r="L13">
            <v>13349</v>
          </cell>
        </row>
        <row r="14">
          <cell r="F14">
            <v>199255461</v>
          </cell>
          <cell r="L14">
            <v>296734</v>
          </cell>
        </row>
        <row r="15">
          <cell r="F15">
            <v>1141966666</v>
          </cell>
          <cell r="L15">
            <v>3273653</v>
          </cell>
        </row>
        <row r="16">
          <cell r="F16">
            <v>10586224403</v>
          </cell>
          <cell r="L16">
            <v>21785951</v>
          </cell>
        </row>
        <row r="17">
          <cell r="F17">
            <v>78703448</v>
          </cell>
          <cell r="L17">
            <v>182984</v>
          </cell>
        </row>
        <row r="18">
          <cell r="F18">
            <v>1774969074</v>
          </cell>
          <cell r="L18">
            <v>3457820</v>
          </cell>
        </row>
        <row r="19">
          <cell r="F19">
            <v>82346505</v>
          </cell>
          <cell r="L19">
            <v>233584</v>
          </cell>
        </row>
        <row r="30">
          <cell r="F30">
            <v>1598460944</v>
          </cell>
          <cell r="L30">
            <v>4316766</v>
          </cell>
        </row>
        <row r="31">
          <cell r="F31">
            <v>10497827531</v>
          </cell>
          <cell r="L31">
            <v>18253087</v>
          </cell>
        </row>
        <row r="32">
          <cell r="F32">
            <v>884696281</v>
          </cell>
          <cell r="L32">
            <v>2841463</v>
          </cell>
        </row>
        <row r="33">
          <cell r="F33">
            <v>2423052545</v>
          </cell>
          <cell r="L33">
            <v>4230069</v>
          </cell>
        </row>
        <row r="34">
          <cell r="F34">
            <v>1499444143</v>
          </cell>
          <cell r="L34">
            <v>2572488</v>
          </cell>
        </row>
        <row r="35">
          <cell r="F35">
            <v>18651385859</v>
          </cell>
          <cell r="L35">
            <v>77821106</v>
          </cell>
        </row>
        <row r="36">
          <cell r="F36">
            <v>1080645111</v>
          </cell>
          <cell r="L36">
            <v>4691123</v>
          </cell>
        </row>
        <row r="37">
          <cell r="F37">
            <v>6663166998</v>
          </cell>
          <cell r="L37">
            <v>13776645</v>
          </cell>
        </row>
        <row r="38">
          <cell r="F38">
            <v>5620100</v>
          </cell>
          <cell r="L38">
            <v>6067</v>
          </cell>
        </row>
        <row r="39">
          <cell r="F39">
            <v>199255461</v>
          </cell>
          <cell r="L39">
            <v>197916</v>
          </cell>
        </row>
        <row r="40">
          <cell r="F40">
            <v>1141966666</v>
          </cell>
          <cell r="L40">
            <v>3239774</v>
          </cell>
        </row>
        <row r="41">
          <cell r="F41">
            <v>10586224403</v>
          </cell>
          <cell r="L41">
            <v>27703630</v>
          </cell>
        </row>
        <row r="42">
          <cell r="F42">
            <v>78703448</v>
          </cell>
          <cell r="L42">
            <v>126893</v>
          </cell>
        </row>
        <row r="43">
          <cell r="F43">
            <v>1774969074</v>
          </cell>
          <cell r="L43">
            <v>3559410</v>
          </cell>
        </row>
        <row r="44">
          <cell r="F44">
            <v>82346505</v>
          </cell>
          <cell r="L44">
            <v>174336</v>
          </cell>
        </row>
      </sheetData>
      <sheetData sheetId="5">
        <row r="1">
          <cell r="B1">
            <v>43373</v>
          </cell>
        </row>
        <row r="2">
          <cell r="B2">
            <v>43465</v>
          </cell>
        </row>
        <row r="33">
          <cell r="B33">
            <v>114845063</v>
          </cell>
          <cell r="C33">
            <v>136583445</v>
          </cell>
          <cell r="D33">
            <v>139261966</v>
          </cell>
          <cell r="E33">
            <v>140625072</v>
          </cell>
          <cell r="F33">
            <v>140941130</v>
          </cell>
          <cell r="G33">
            <v>141037442</v>
          </cell>
          <cell r="H33">
            <v>141064237</v>
          </cell>
          <cell r="I33">
            <v>141074928</v>
          </cell>
          <cell r="J33">
            <v>141083823</v>
          </cell>
        </row>
        <row r="35">
          <cell r="B35">
            <v>120734062</v>
          </cell>
          <cell r="C35">
            <v>137925667</v>
          </cell>
          <cell r="D35">
            <v>139541628</v>
          </cell>
          <cell r="E35">
            <v>140870875</v>
          </cell>
          <cell r="F35">
            <v>140966340</v>
          </cell>
          <cell r="G35">
            <v>141040884</v>
          </cell>
          <cell r="H35">
            <v>141071401</v>
          </cell>
          <cell r="I35">
            <v>141077928</v>
          </cell>
          <cell r="J35">
            <v>141083823</v>
          </cell>
        </row>
        <row r="37">
          <cell r="B37">
            <v>63706329</v>
          </cell>
          <cell r="C37">
            <v>70823841</v>
          </cell>
          <cell r="D37">
            <v>72510336</v>
          </cell>
          <cell r="E37">
            <v>73282245</v>
          </cell>
          <cell r="F37">
            <v>73407376</v>
          </cell>
          <cell r="G37">
            <v>73508150</v>
          </cell>
          <cell r="H37">
            <v>73530241</v>
          </cell>
          <cell r="I37">
            <v>73536265</v>
          </cell>
          <cell r="J37">
            <v>73536265</v>
          </cell>
        </row>
        <row r="39">
          <cell r="B39">
            <v>66045105</v>
          </cell>
          <cell r="C39">
            <v>71577621</v>
          </cell>
          <cell r="D39">
            <v>72984393</v>
          </cell>
          <cell r="E39">
            <v>73567752</v>
          </cell>
          <cell r="F39">
            <v>73598733</v>
          </cell>
          <cell r="G39">
            <v>73572807</v>
          </cell>
          <cell r="H39">
            <v>73530241</v>
          </cell>
          <cell r="I39">
            <v>73536265</v>
          </cell>
          <cell r="J39">
            <v>73536265</v>
          </cell>
        </row>
        <row r="41">
          <cell r="B41">
            <v>137268975</v>
          </cell>
          <cell r="C41">
            <v>154006388</v>
          </cell>
          <cell r="D41">
            <v>156583413</v>
          </cell>
          <cell r="E41">
            <v>157455959</v>
          </cell>
          <cell r="F41">
            <v>157928871</v>
          </cell>
          <cell r="G41">
            <v>157995441</v>
          </cell>
          <cell r="H41">
            <v>158032134</v>
          </cell>
          <cell r="I41">
            <v>158045550</v>
          </cell>
        </row>
        <row r="43">
          <cell r="B43">
            <v>143685191</v>
          </cell>
          <cell r="C43">
            <v>155082103</v>
          </cell>
          <cell r="D43">
            <v>157260644</v>
          </cell>
          <cell r="E43">
            <v>157739173</v>
          </cell>
          <cell r="F43">
            <v>158013526</v>
          </cell>
          <cell r="G43">
            <v>157995441</v>
          </cell>
          <cell r="H43">
            <v>158049585</v>
          </cell>
          <cell r="I43">
            <v>158045550</v>
          </cell>
        </row>
        <row r="45">
          <cell r="B45">
            <v>162843785</v>
          </cell>
          <cell r="C45">
            <v>196787659</v>
          </cell>
          <cell r="D45">
            <v>232372931</v>
          </cell>
          <cell r="E45">
            <v>242523103</v>
          </cell>
          <cell r="F45">
            <v>245226899</v>
          </cell>
          <cell r="G45">
            <v>246785273</v>
          </cell>
          <cell r="H45">
            <v>247418887</v>
          </cell>
        </row>
        <row r="47">
          <cell r="B47">
            <v>170023007</v>
          </cell>
          <cell r="C47">
            <v>203479515</v>
          </cell>
          <cell r="D47">
            <v>240438584</v>
          </cell>
          <cell r="E47">
            <v>246180482</v>
          </cell>
          <cell r="F47">
            <v>247026668</v>
          </cell>
          <cell r="G47">
            <v>247421704</v>
          </cell>
          <cell r="H47">
            <v>247519642</v>
          </cell>
        </row>
        <row r="49">
          <cell r="B49">
            <v>124049953</v>
          </cell>
          <cell r="C49">
            <v>143358632</v>
          </cell>
          <cell r="D49">
            <v>151995425</v>
          </cell>
          <cell r="E49">
            <v>154466005</v>
          </cell>
          <cell r="F49">
            <v>156218419</v>
          </cell>
          <cell r="G49">
            <v>156541239</v>
          </cell>
        </row>
        <row r="51">
          <cell r="B51">
            <v>127452940</v>
          </cell>
          <cell r="C51">
            <v>147008796</v>
          </cell>
          <cell r="D51">
            <v>154929835</v>
          </cell>
          <cell r="E51">
            <v>155922478</v>
          </cell>
          <cell r="F51">
            <v>156569090</v>
          </cell>
          <cell r="G51">
            <v>156577214</v>
          </cell>
        </row>
        <row r="53">
          <cell r="B53">
            <v>151510397</v>
          </cell>
          <cell r="C53">
            <v>178253200</v>
          </cell>
          <cell r="D53">
            <v>187490071</v>
          </cell>
          <cell r="E53">
            <v>191068370</v>
          </cell>
          <cell r="F53">
            <v>191825376</v>
          </cell>
        </row>
        <row r="55">
          <cell r="B55">
            <v>157426480</v>
          </cell>
          <cell r="C55">
            <v>183365534</v>
          </cell>
          <cell r="D55">
            <v>190277645</v>
          </cell>
          <cell r="E55">
            <v>191866051</v>
          </cell>
          <cell r="F55">
            <v>192056094</v>
          </cell>
        </row>
        <row r="57">
          <cell r="B57">
            <v>173851321</v>
          </cell>
          <cell r="C57">
            <v>200068627</v>
          </cell>
          <cell r="D57">
            <v>206343457</v>
          </cell>
          <cell r="E57">
            <v>208326698</v>
          </cell>
        </row>
        <row r="59">
          <cell r="B59">
            <v>183265977</v>
          </cell>
          <cell r="C59">
            <v>204238612</v>
          </cell>
          <cell r="D59">
            <v>208541167</v>
          </cell>
          <cell r="E59">
            <v>209008196</v>
          </cell>
        </row>
        <row r="61">
          <cell r="B61">
            <v>486123737</v>
          </cell>
          <cell r="C61">
            <v>553331928</v>
          </cell>
          <cell r="D61">
            <v>561570000</v>
          </cell>
        </row>
        <row r="63">
          <cell r="B63">
            <v>498091696</v>
          </cell>
          <cell r="C63">
            <v>556120188</v>
          </cell>
          <cell r="D63">
            <v>562298313</v>
          </cell>
        </row>
        <row r="65">
          <cell r="B65">
            <v>634032864</v>
          </cell>
          <cell r="C65">
            <v>775471701</v>
          </cell>
        </row>
        <row r="67">
          <cell r="B67">
            <v>665246722</v>
          </cell>
          <cell r="C67">
            <v>791814275</v>
          </cell>
        </row>
        <row r="69">
          <cell r="B69">
            <v>181011401</v>
          </cell>
        </row>
        <row r="71">
          <cell r="B71">
            <v>186500396</v>
          </cell>
        </row>
      </sheetData>
      <sheetData sheetId="6"/>
      <sheetData sheetId="7">
        <row r="5">
          <cell r="L5">
            <v>857250899.15999997</v>
          </cell>
        </row>
      </sheetData>
      <sheetData sheetId="8">
        <row r="14">
          <cell r="B14">
            <v>31841452</v>
          </cell>
          <cell r="E14">
            <v>80599479</v>
          </cell>
          <cell r="F14">
            <v>68548</v>
          </cell>
        </row>
        <row r="15">
          <cell r="E15">
            <v>89719305</v>
          </cell>
          <cell r="F15">
            <v>76008</v>
          </cell>
        </row>
        <row r="16">
          <cell r="E16">
            <v>56402471</v>
          </cell>
          <cell r="F16">
            <v>48007</v>
          </cell>
        </row>
        <row r="17">
          <cell r="E17">
            <v>54587932</v>
          </cell>
          <cell r="F17">
            <v>47026</v>
          </cell>
        </row>
        <row r="18">
          <cell r="E18">
            <v>82603320</v>
          </cell>
          <cell r="F18">
            <v>72174</v>
          </cell>
        </row>
        <row r="19">
          <cell r="E19">
            <v>91866506</v>
          </cell>
          <cell r="F19">
            <v>80037</v>
          </cell>
        </row>
        <row r="20">
          <cell r="E20">
            <v>58863267</v>
          </cell>
          <cell r="F20">
            <v>50797</v>
          </cell>
        </row>
        <row r="21">
          <cell r="E21">
            <v>59951748</v>
          </cell>
          <cell r="F21">
            <v>49776</v>
          </cell>
        </row>
        <row r="22">
          <cell r="E22">
            <v>90742856</v>
          </cell>
          <cell r="F22">
            <v>75601</v>
          </cell>
        </row>
        <row r="23">
          <cell r="E23">
            <v>99110457</v>
          </cell>
          <cell r="F23">
            <v>82435</v>
          </cell>
        </row>
        <row r="24">
          <cell r="E24">
            <v>66729933</v>
          </cell>
          <cell r="F24">
            <v>54497</v>
          </cell>
        </row>
        <row r="25">
          <cell r="E25">
            <v>68658174</v>
          </cell>
          <cell r="F25">
            <v>54769</v>
          </cell>
        </row>
        <row r="26">
          <cell r="E26">
            <v>96214511</v>
          </cell>
          <cell r="F26">
            <v>77155</v>
          </cell>
        </row>
        <row r="27">
          <cell r="E27">
            <v>112131482</v>
          </cell>
          <cell r="F27">
            <v>89431</v>
          </cell>
        </row>
        <row r="28">
          <cell r="E28">
            <v>70018382</v>
          </cell>
          <cell r="F28">
            <v>54952</v>
          </cell>
        </row>
        <row r="29">
          <cell r="E29">
            <v>71740155</v>
          </cell>
          <cell r="F29">
            <v>54742</v>
          </cell>
        </row>
        <row r="30">
          <cell r="E30">
            <v>108632729</v>
          </cell>
          <cell r="F30">
            <v>82182</v>
          </cell>
        </row>
        <row r="31">
          <cell r="E31">
            <v>111540208</v>
          </cell>
          <cell r="F31">
            <v>83114</v>
          </cell>
        </row>
        <row r="32">
          <cell r="E32">
            <v>81734680</v>
          </cell>
          <cell r="F32">
            <v>60544</v>
          </cell>
        </row>
        <row r="33">
          <cell r="E33">
            <v>77867785</v>
          </cell>
          <cell r="F33">
            <v>55592</v>
          </cell>
        </row>
        <row r="34">
          <cell r="E34">
            <v>111616003</v>
          </cell>
          <cell r="F34">
            <v>79155</v>
          </cell>
        </row>
        <row r="35">
          <cell r="E35">
            <v>128096479</v>
          </cell>
          <cell r="F35">
            <v>89874</v>
          </cell>
        </row>
        <row r="36">
          <cell r="E36">
            <v>86711448</v>
          </cell>
          <cell r="F36">
            <v>60646</v>
          </cell>
        </row>
        <row r="37">
          <cell r="E37">
            <v>85327979</v>
          </cell>
          <cell r="F37">
            <v>57651</v>
          </cell>
        </row>
        <row r="38">
          <cell r="E38">
            <v>122581230</v>
          </cell>
          <cell r="F38">
            <v>82158</v>
          </cell>
        </row>
        <row r="39">
          <cell r="E39">
            <v>127421809</v>
          </cell>
          <cell r="F39">
            <v>84402</v>
          </cell>
        </row>
        <row r="40">
          <cell r="E40">
            <v>87342988</v>
          </cell>
          <cell r="F40">
            <v>57308</v>
          </cell>
        </row>
        <row r="41">
          <cell r="E41">
            <v>84557230</v>
          </cell>
          <cell r="F41">
            <v>54113</v>
          </cell>
        </row>
        <row r="42">
          <cell r="E42">
            <v>125845764</v>
          </cell>
          <cell r="F42">
            <v>79991</v>
          </cell>
        </row>
        <row r="43">
          <cell r="E43">
            <v>123784247</v>
          </cell>
          <cell r="F43">
            <v>77932</v>
          </cell>
        </row>
        <row r="44">
          <cell r="E44">
            <v>81959449</v>
          </cell>
          <cell r="F44">
            <v>51030</v>
          </cell>
        </row>
        <row r="45">
          <cell r="E45">
            <v>79037984</v>
          </cell>
          <cell r="F45">
            <v>50991</v>
          </cell>
        </row>
        <row r="46">
          <cell r="E46">
            <v>114547681</v>
          </cell>
          <cell r="F46">
            <v>73614</v>
          </cell>
        </row>
        <row r="47">
          <cell r="E47">
            <v>108614623</v>
          </cell>
          <cell r="F47">
            <v>68864</v>
          </cell>
        </row>
        <row r="48">
          <cell r="E48">
            <v>73697340</v>
          </cell>
          <cell r="F48">
            <v>45960</v>
          </cell>
        </row>
        <row r="49">
          <cell r="E49">
            <v>71679332</v>
          </cell>
          <cell r="F49">
            <v>44101</v>
          </cell>
        </row>
        <row r="50">
          <cell r="E50">
            <v>104163394</v>
          </cell>
          <cell r="F50">
            <v>63851</v>
          </cell>
        </row>
        <row r="51">
          <cell r="E51">
            <v>101951681</v>
          </cell>
          <cell r="F51">
            <v>61408</v>
          </cell>
        </row>
        <row r="52">
          <cell r="E52">
            <v>68300637</v>
          </cell>
          <cell r="F52">
            <v>40418</v>
          </cell>
        </row>
      </sheetData>
      <sheetData sheetId="9">
        <row r="23">
          <cell r="X23">
            <v>25650931</v>
          </cell>
          <cell r="Y23">
            <v>109856744</v>
          </cell>
        </row>
        <row r="24">
          <cell r="Y24">
            <v>59905533</v>
          </cell>
        </row>
        <row r="25">
          <cell r="Y25">
            <v>155594490</v>
          </cell>
        </row>
        <row r="26">
          <cell r="Y26">
            <v>4279815</v>
          </cell>
        </row>
        <row r="114">
          <cell r="I114">
            <v>1.4071004226562505</v>
          </cell>
        </row>
        <row r="136">
          <cell r="I136">
            <v>1.4071004226562505</v>
          </cell>
        </row>
        <row r="148">
          <cell r="J148">
            <v>1.3400956406250004</v>
          </cell>
        </row>
        <row r="160">
          <cell r="J160">
            <v>1.2762815625000004</v>
          </cell>
        </row>
        <row r="172">
          <cell r="J172">
            <v>1.2155062500000002</v>
          </cell>
        </row>
        <row r="184">
          <cell r="J184">
            <v>1.1576250000000001</v>
          </cell>
        </row>
        <row r="196">
          <cell r="J196">
            <v>1.1025</v>
          </cell>
        </row>
        <row r="197">
          <cell r="J197">
            <v>1.05</v>
          </cell>
        </row>
        <row r="220">
          <cell r="J220">
            <v>1.05</v>
          </cell>
        </row>
        <row r="221">
          <cell r="J221">
            <v>1</v>
          </cell>
        </row>
        <row r="236">
          <cell r="J236">
            <v>2.0131171511531929</v>
          </cell>
        </row>
        <row r="237">
          <cell r="J237">
            <v>1.9195987469434546</v>
          </cell>
        </row>
        <row r="238">
          <cell r="J238">
            <v>1.8367857218551029</v>
          </cell>
        </row>
        <row r="239">
          <cell r="J239">
            <v>1.8323775762609837</v>
          </cell>
        </row>
        <row r="240">
          <cell r="J240">
            <v>1.7490128310516411</v>
          </cell>
        </row>
        <row r="241">
          <cell r="G241">
            <v>219412771.41374999</v>
          </cell>
          <cell r="J241">
            <v>1.6495345789525933</v>
          </cell>
          <cell r="O241">
            <v>361928953.51080167</v>
          </cell>
        </row>
        <row r="242">
          <cell r="G242">
            <v>250693787.58916676</v>
          </cell>
          <cell r="J242">
            <v>1.4987056675771686</v>
          </cell>
          <cell r="O242">
            <v>375716200.2862711</v>
          </cell>
        </row>
        <row r="243">
          <cell r="G243">
            <v>273154916.13250005</v>
          </cell>
          <cell r="J243">
            <v>1.4074808531397425</v>
          </cell>
          <cell r="O243">
            <v>384460314.39748597</v>
          </cell>
        </row>
        <row r="244">
          <cell r="G244">
            <v>292239326.51041698</v>
          </cell>
          <cell r="J244">
            <v>1.3727166755238378</v>
          </cell>
          <cell r="O244">
            <v>401161796.74470496</v>
          </cell>
        </row>
        <row r="245">
          <cell r="G245">
            <v>323323868.9816668</v>
          </cell>
          <cell r="J245">
            <v>1.3073731976777445</v>
          </cell>
          <cell r="O245">
            <v>422704960.47610188</v>
          </cell>
        </row>
        <row r="246">
          <cell r="G246">
            <v>346955938.10791636</v>
          </cell>
          <cell r="J246">
            <v>1.2452851041347781</v>
          </cell>
          <cell r="O246">
            <v>432059061.51689625</v>
          </cell>
        </row>
        <row r="247">
          <cell r="G247">
            <v>372022088.97291589</v>
          </cell>
          <cell r="J247">
            <v>1.1862347753925764</v>
          </cell>
          <cell r="O247">
            <v>441305539.15386391</v>
          </cell>
        </row>
        <row r="248">
          <cell r="G248">
            <v>403803905.31166744</v>
          </cell>
          <cell r="J248">
            <v>1.1299661810216541</v>
          </cell>
          <cell r="O248">
            <v>456284756.76665449</v>
          </cell>
        </row>
        <row r="249">
          <cell r="G249">
            <v>405934589.57833338</v>
          </cell>
          <cell r="J249">
            <v>1.0765597532120244</v>
          </cell>
          <cell r="O249">
            <v>437012841.57667494</v>
          </cell>
        </row>
        <row r="250">
          <cell r="G250">
            <v>376421384.29166651</v>
          </cell>
          <cell r="J250">
            <v>1.0500000000000014</v>
          </cell>
          <cell r="O250">
            <v>395242453.50625038</v>
          </cell>
        </row>
        <row r="251">
          <cell r="G251">
            <v>341468875.45833349</v>
          </cell>
          <cell r="J251">
            <v>1.0255439472483592</v>
          </cell>
          <cell r="O251">
            <v>350191338.39999771</v>
          </cell>
        </row>
        <row r="313">
          <cell r="O313">
            <v>91368783.82083334</v>
          </cell>
        </row>
        <row r="314">
          <cell r="O314">
            <v>88264252.722916678</v>
          </cell>
        </row>
        <row r="315">
          <cell r="O315">
            <v>86607394.652083337</v>
          </cell>
        </row>
        <row r="316">
          <cell r="O316">
            <v>83950907.204166666</v>
          </cell>
        </row>
      </sheetData>
      <sheetData sheetId="10">
        <row r="88">
          <cell r="H88">
            <v>181.04</v>
          </cell>
        </row>
        <row r="89">
          <cell r="H89">
            <v>181.06</v>
          </cell>
        </row>
        <row r="90">
          <cell r="H90">
            <v>180.55</v>
          </cell>
        </row>
        <row r="91">
          <cell r="H91">
            <v>180.07</v>
          </cell>
        </row>
        <row r="92">
          <cell r="H92">
            <v>179.3</v>
          </cell>
        </row>
        <row r="93">
          <cell r="H93">
            <v>178.8</v>
          </cell>
        </row>
        <row r="94">
          <cell r="H94">
            <v>178.46</v>
          </cell>
        </row>
        <row r="95">
          <cell r="H95">
            <v>178.56</v>
          </cell>
        </row>
        <row r="96">
          <cell r="H96">
            <v>178.59</v>
          </cell>
        </row>
        <row r="97">
          <cell r="H97">
            <v>178.72</v>
          </cell>
        </row>
        <row r="98">
          <cell r="H98">
            <v>178.97</v>
          </cell>
        </row>
        <row r="99">
          <cell r="H99">
            <v>179.61</v>
          </cell>
        </row>
        <row r="100">
          <cell r="H100">
            <v>180.52</v>
          </cell>
        </row>
        <row r="101">
          <cell r="H101">
            <v>181.55</v>
          </cell>
        </row>
        <row r="102">
          <cell r="H102">
            <v>182.78</v>
          </cell>
        </row>
        <row r="103">
          <cell r="H103">
            <v>183.87</v>
          </cell>
        </row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193.86</v>
          </cell>
        </row>
        <row r="123">
          <cell r="H123">
            <v>194.07</v>
          </cell>
        </row>
        <row r="124">
          <cell r="H124">
            <v>194.2</v>
          </cell>
        </row>
        <row r="125">
          <cell r="H125">
            <v>194.18</v>
          </cell>
        </row>
        <row r="126">
          <cell r="H126">
            <v>194.71</v>
          </cell>
        </row>
        <row r="127">
          <cell r="H127">
            <v>195.24</v>
          </cell>
        </row>
        <row r="128">
          <cell r="H128">
            <v>195.63</v>
          </cell>
        </row>
        <row r="129">
          <cell r="H129">
            <v>196.26</v>
          </cell>
        </row>
      </sheetData>
      <sheetData sheetId="11">
        <row r="50">
          <cell r="D50">
            <v>2017.7360107812501</v>
          </cell>
          <cell r="E50">
            <v>2036.3703293750002</v>
          </cell>
        </row>
        <row r="51">
          <cell r="D51">
            <v>2034.7849812500001</v>
          </cell>
          <cell r="E51">
            <v>2055.5519091666665</v>
          </cell>
        </row>
        <row r="52">
          <cell r="D52">
            <v>2043.2161928125001</v>
          </cell>
          <cell r="E52">
            <v>2068.5793746874997</v>
          </cell>
        </row>
        <row r="53">
          <cell r="D53">
            <v>2046.4801010156252</v>
          </cell>
          <cell r="E53">
            <v>2075.3438589583334</v>
          </cell>
        </row>
        <row r="54">
          <cell r="D54">
            <v>2047.158558046875</v>
          </cell>
          <cell r="E54">
            <v>2075.0139716666663</v>
          </cell>
        </row>
        <row r="55">
          <cell r="D55">
            <v>2046.0564072656248</v>
          </cell>
          <cell r="E55">
            <v>2072.6816296874995</v>
          </cell>
        </row>
        <row r="56">
          <cell r="D56">
            <v>2050.4328481822913</v>
          </cell>
          <cell r="E56">
            <v>2070.9022325625001</v>
          </cell>
        </row>
        <row r="57">
          <cell r="D57">
            <v>2057.859776813244</v>
          </cell>
          <cell r="E57">
            <v>2070.5411396607142</v>
          </cell>
        </row>
        <row r="58">
          <cell r="D58">
            <v>2065.0128565796131</v>
          </cell>
          <cell r="E58">
            <v>2073.3526863214288</v>
          </cell>
        </row>
        <row r="59">
          <cell r="D59">
            <v>2070.1198159620535</v>
          </cell>
          <cell r="E59">
            <v>2074.4086932410714</v>
          </cell>
        </row>
        <row r="60">
          <cell r="D60">
            <v>2075.6810965818454</v>
          </cell>
          <cell r="E60">
            <v>2078.0351768244045</v>
          </cell>
        </row>
        <row r="61">
          <cell r="D61">
            <v>2083.0801083154765</v>
          </cell>
          <cell r="E61">
            <v>2083.4068668095238</v>
          </cell>
        </row>
        <row r="62">
          <cell r="D62">
            <v>2092.604635111607</v>
          </cell>
          <cell r="E62">
            <v>2089.9124423363091</v>
          </cell>
        </row>
        <row r="63">
          <cell r="D63">
            <v>2103.5973240104167</v>
          </cell>
          <cell r="E63">
            <v>2099.2861185416664</v>
          </cell>
        </row>
        <row r="64">
          <cell r="D64">
            <v>2121.3863972395829</v>
          </cell>
          <cell r="E64">
            <v>2118.7728055208336</v>
          </cell>
        </row>
        <row r="65">
          <cell r="D65">
            <v>2139.8897584374999</v>
          </cell>
          <cell r="E65">
            <v>2139.8319890624998</v>
          </cell>
        </row>
        <row r="66">
          <cell r="D66">
            <v>2155.3798938281243</v>
          </cell>
          <cell r="E66">
            <v>2157.6929340625002</v>
          </cell>
        </row>
        <row r="67">
          <cell r="D67">
            <v>2172.4831220312499</v>
          </cell>
          <cell r="E67">
            <v>2175.5875087499999</v>
          </cell>
        </row>
        <row r="68">
          <cell r="D68">
            <v>2188.255486953125</v>
          </cell>
          <cell r="E68">
            <v>2189.5754593749998</v>
          </cell>
        </row>
        <row r="69">
          <cell r="D69">
            <v>2202.5870287499997</v>
          </cell>
          <cell r="E69">
            <v>2203.3253506249994</v>
          </cell>
        </row>
        <row r="70">
          <cell r="D70">
            <v>2219.59576296875</v>
          </cell>
          <cell r="E70">
            <v>2227.6634887499999</v>
          </cell>
        </row>
        <row r="71">
          <cell r="D71">
            <v>2238.9325269531246</v>
          </cell>
          <cell r="E71">
            <v>2252.5887062499996</v>
          </cell>
        </row>
        <row r="72">
          <cell r="D72">
            <v>2257.3478765625</v>
          </cell>
          <cell r="E72">
            <v>2274.9542849999998</v>
          </cell>
        </row>
        <row r="73">
          <cell r="D73">
            <v>2275.4896718750001</v>
          </cell>
          <cell r="E73">
            <v>2296.7249009375</v>
          </cell>
        </row>
        <row r="74">
          <cell r="D74">
            <v>2293.5151308593749</v>
          </cell>
          <cell r="E74">
            <v>2310.5328143750003</v>
          </cell>
        </row>
        <row r="75">
          <cell r="D75">
            <v>2307.4778215625001</v>
          </cell>
          <cell r="E75">
            <v>2322.4784609375001</v>
          </cell>
        </row>
        <row r="76">
          <cell r="D76">
            <v>2315.9449352343754</v>
          </cell>
          <cell r="E76">
            <v>2330.3377737500005</v>
          </cell>
        </row>
        <row r="77">
          <cell r="D77">
            <v>2319.8257382031252</v>
          </cell>
          <cell r="E77">
            <v>2333.2109853125003</v>
          </cell>
        </row>
        <row r="78">
          <cell r="D78">
            <v>2316.3639912499998</v>
          </cell>
          <cell r="E78">
            <v>2328.5980481249999</v>
          </cell>
        </row>
        <row r="79">
          <cell r="D79">
            <v>2308.3288760156247</v>
          </cell>
          <cell r="E79">
            <v>2320.7448587499998</v>
          </cell>
        </row>
        <row r="80">
          <cell r="D80">
            <v>2301.1726541406247</v>
          </cell>
          <cell r="E80">
            <v>2313.5318737499997</v>
          </cell>
        </row>
        <row r="81">
          <cell r="D81">
            <v>2296.4491737499998</v>
          </cell>
          <cell r="E81">
            <v>2308.1033562499997</v>
          </cell>
        </row>
        <row r="82">
          <cell r="D82">
            <v>2299.303500234375</v>
          </cell>
          <cell r="E82">
            <v>2311.1714815625</v>
          </cell>
        </row>
        <row r="83">
          <cell r="D83">
            <v>2309.66218796875</v>
          </cell>
          <cell r="E83">
            <v>2323.7151659374999</v>
          </cell>
        </row>
        <row r="84">
          <cell r="D84">
            <v>2326.193059453125</v>
          </cell>
          <cell r="E84">
            <v>2340.7207453125002</v>
          </cell>
        </row>
        <row r="85">
          <cell r="D85">
            <v>2343.6965754687499</v>
          </cell>
          <cell r="E85">
            <v>2359.9985725000001</v>
          </cell>
        </row>
        <row r="86">
          <cell r="D86">
            <v>2363.6270378125</v>
          </cell>
          <cell r="E86">
            <v>2380.2379659375001</v>
          </cell>
        </row>
        <row r="87">
          <cell r="D87">
            <v>2386.8735450000004</v>
          </cell>
          <cell r="E87">
            <v>2404.0547853124999</v>
          </cell>
        </row>
        <row r="88">
          <cell r="D88">
            <v>2413.4006183593751</v>
          </cell>
          <cell r="E88">
            <v>2433.2116703124998</v>
          </cell>
        </row>
        <row r="89">
          <cell r="D89">
            <v>2440.9961745312503</v>
          </cell>
          <cell r="E89">
            <v>2467.4966821874996</v>
          </cell>
        </row>
      </sheetData>
      <sheetData sheetId="12">
        <row r="21">
          <cell r="E21">
            <v>2114.7060665624999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12911</v>
          </cell>
        </row>
        <row r="15">
          <cell r="E15">
            <v>2512</v>
          </cell>
        </row>
        <row r="16">
          <cell r="E16">
            <v>796</v>
          </cell>
        </row>
        <row r="17">
          <cell r="E17">
            <v>148999</v>
          </cell>
        </row>
        <row r="18">
          <cell r="E18">
            <v>999</v>
          </cell>
        </row>
        <row r="19">
          <cell r="E19">
            <v>512</v>
          </cell>
        </row>
        <row r="20">
          <cell r="E20">
            <v>881</v>
          </cell>
        </row>
        <row r="21">
          <cell r="E21">
            <v>1897</v>
          </cell>
        </row>
        <row r="22">
          <cell r="E22">
            <v>1160</v>
          </cell>
        </row>
        <row r="23">
          <cell r="E23">
            <v>12296</v>
          </cell>
        </row>
        <row r="24">
          <cell r="E24">
            <v>335</v>
          </cell>
        </row>
        <row r="25">
          <cell r="E25">
            <v>1217</v>
          </cell>
        </row>
        <row r="26">
          <cell r="E26">
            <v>489</v>
          </cell>
        </row>
        <row r="27">
          <cell r="E27">
            <v>3375</v>
          </cell>
        </row>
        <row r="28">
          <cell r="E28">
            <v>679</v>
          </cell>
        </row>
        <row r="29">
          <cell r="E29">
            <v>2977</v>
          </cell>
        </row>
        <row r="30">
          <cell r="E30">
            <v>1166</v>
          </cell>
        </row>
        <row r="31">
          <cell r="E31">
            <v>2964</v>
          </cell>
        </row>
        <row r="32">
          <cell r="E32">
            <v>22401</v>
          </cell>
        </row>
        <row r="33">
          <cell r="E33">
            <v>8773</v>
          </cell>
        </row>
        <row r="34">
          <cell r="E34">
            <v>6227</v>
          </cell>
        </row>
        <row r="35">
          <cell r="E35">
            <v>24605</v>
          </cell>
        </row>
        <row r="36">
          <cell r="E36">
            <v>5167</v>
          </cell>
        </row>
        <row r="37">
          <cell r="E37">
            <v>155001</v>
          </cell>
        </row>
        <row r="38">
          <cell r="E38">
            <v>5167</v>
          </cell>
        </row>
        <row r="39">
          <cell r="E39">
            <v>154981</v>
          </cell>
        </row>
        <row r="40">
          <cell r="E40">
            <v>4276</v>
          </cell>
        </row>
        <row r="41">
          <cell r="E41">
            <v>15745</v>
          </cell>
        </row>
        <row r="42">
          <cell r="E42">
            <v>2583017</v>
          </cell>
        </row>
        <row r="43">
          <cell r="E43">
            <v>10407</v>
          </cell>
        </row>
        <row r="44">
          <cell r="E44">
            <v>18030</v>
          </cell>
        </row>
        <row r="45">
          <cell r="C45">
            <v>96290</v>
          </cell>
          <cell r="D45">
            <v>1</v>
          </cell>
          <cell r="E45">
            <v>96290</v>
          </cell>
        </row>
        <row r="46">
          <cell r="C46">
            <v>67586</v>
          </cell>
          <cell r="D46">
            <v>1</v>
          </cell>
          <cell r="E46">
            <v>67586</v>
          </cell>
        </row>
        <row r="47">
          <cell r="C47">
            <v>71068</v>
          </cell>
          <cell r="D47">
            <v>0.997</v>
          </cell>
          <cell r="E47">
            <v>70855</v>
          </cell>
        </row>
        <row r="48">
          <cell r="C48">
            <v>7068</v>
          </cell>
          <cell r="D48">
            <v>0.997</v>
          </cell>
          <cell r="E48">
            <v>7047</v>
          </cell>
        </row>
        <row r="49">
          <cell r="C49">
            <v>139777</v>
          </cell>
          <cell r="D49">
            <v>0.98699999999999999</v>
          </cell>
          <cell r="E49">
            <v>137960</v>
          </cell>
        </row>
        <row r="50">
          <cell r="C50">
            <v>28908</v>
          </cell>
          <cell r="D50">
            <v>0.98299999999999998</v>
          </cell>
          <cell r="E50">
            <v>28417</v>
          </cell>
        </row>
        <row r="51">
          <cell r="C51">
            <v>1373877</v>
          </cell>
          <cell r="D51">
            <v>1.0005057045008647</v>
          </cell>
          <cell r="E51">
            <v>1374571.7757825346</v>
          </cell>
        </row>
        <row r="52">
          <cell r="C52">
            <v>13197</v>
          </cell>
          <cell r="D52">
            <v>0.999</v>
          </cell>
          <cell r="E52">
            <v>13184</v>
          </cell>
        </row>
      </sheetData>
      <sheetData sheetId="14">
        <row r="11">
          <cell r="M11">
            <v>12</v>
          </cell>
        </row>
        <row r="14">
          <cell r="C14">
            <v>8267</v>
          </cell>
          <cell r="D14">
            <v>10825</v>
          </cell>
          <cell r="E14">
            <v>10581</v>
          </cell>
          <cell r="F14">
            <v>10732</v>
          </cell>
          <cell r="G14">
            <v>10453</v>
          </cell>
          <cell r="H14">
            <v>10404</v>
          </cell>
          <cell r="I14">
            <v>10407</v>
          </cell>
        </row>
        <row r="15">
          <cell r="C15">
            <v>15215</v>
          </cell>
          <cell r="D15">
            <v>18166</v>
          </cell>
          <cell r="E15">
            <v>18173</v>
          </cell>
          <cell r="F15">
            <v>18522</v>
          </cell>
          <cell r="G15">
            <v>18361</v>
          </cell>
          <cell r="H15">
            <v>18267</v>
          </cell>
          <cell r="I15">
            <v>18030</v>
          </cell>
        </row>
        <row r="16">
          <cell r="C16">
            <v>94870</v>
          </cell>
          <cell r="D16">
            <v>96967</v>
          </cell>
          <cell r="E16">
            <v>97503</v>
          </cell>
          <cell r="F16">
            <v>96828</v>
          </cell>
          <cell r="G16">
            <v>96263</v>
          </cell>
          <cell r="H16">
            <v>95964</v>
          </cell>
          <cell r="I16">
            <v>96290</v>
          </cell>
        </row>
        <row r="17">
          <cell r="C17">
            <v>62722</v>
          </cell>
          <cell r="D17">
            <v>69764</v>
          </cell>
          <cell r="E17">
            <v>67287</v>
          </cell>
          <cell r="F17">
            <v>66724</v>
          </cell>
          <cell r="G17">
            <v>66328</v>
          </cell>
          <cell r="H17">
            <v>67658</v>
          </cell>
          <cell r="I17">
            <v>67586</v>
          </cell>
        </row>
        <row r="18">
          <cell r="C18">
            <v>77204</v>
          </cell>
          <cell r="D18">
            <v>75204</v>
          </cell>
          <cell r="E18">
            <v>72860</v>
          </cell>
          <cell r="F18">
            <v>71823</v>
          </cell>
          <cell r="G18">
            <v>71286</v>
          </cell>
          <cell r="H18">
            <v>71068</v>
          </cell>
        </row>
        <row r="19">
          <cell r="C19">
            <v>6739</v>
          </cell>
          <cell r="D19">
            <v>7854</v>
          </cell>
          <cell r="E19">
            <v>7298</v>
          </cell>
          <cell r="F19">
            <v>7261</v>
          </cell>
          <cell r="G19">
            <v>7068</v>
          </cell>
        </row>
        <row r="20">
          <cell r="C20">
            <v>147927</v>
          </cell>
          <cell r="D20">
            <v>139955</v>
          </cell>
          <cell r="E20">
            <v>140459</v>
          </cell>
          <cell r="F20">
            <v>139777</v>
          </cell>
        </row>
        <row r="21">
          <cell r="C21">
            <v>31292</v>
          </cell>
          <cell r="D21">
            <v>29612</v>
          </cell>
          <cell r="E21">
            <v>28908</v>
          </cell>
        </row>
        <row r="22">
          <cell r="C22">
            <v>1278467</v>
          </cell>
          <cell r="D22">
            <v>1373877</v>
          </cell>
        </row>
        <row r="23">
          <cell r="C23">
            <v>13197</v>
          </cell>
          <cell r="M23">
            <v>43465</v>
          </cell>
        </row>
        <row r="47">
          <cell r="C47">
            <v>1.0409999999999999</v>
          </cell>
          <cell r="D47">
            <v>0.97699999999999998</v>
          </cell>
          <cell r="E47">
            <v>0.996</v>
          </cell>
          <cell r="F47">
            <v>0.99</v>
          </cell>
          <cell r="G47">
            <v>1</v>
          </cell>
          <cell r="H47">
            <v>0.997</v>
          </cell>
          <cell r="I47">
            <v>1</v>
          </cell>
        </row>
      </sheetData>
      <sheetData sheetId="15">
        <row r="13">
          <cell r="G13">
            <v>1318</v>
          </cell>
        </row>
        <row r="14">
          <cell r="G14">
            <v>543</v>
          </cell>
        </row>
        <row r="15">
          <cell r="G15">
            <v>565</v>
          </cell>
        </row>
        <row r="16">
          <cell r="G16">
            <v>9127</v>
          </cell>
        </row>
        <row r="17">
          <cell r="G17">
            <v>324</v>
          </cell>
        </row>
        <row r="18">
          <cell r="G18">
            <v>297</v>
          </cell>
        </row>
        <row r="19">
          <cell r="G19">
            <v>505</v>
          </cell>
        </row>
        <row r="20">
          <cell r="G20">
            <v>1056</v>
          </cell>
        </row>
        <row r="21">
          <cell r="G21">
            <v>357</v>
          </cell>
        </row>
        <row r="22">
          <cell r="E22">
            <v>2727</v>
          </cell>
          <cell r="F22">
            <v>801</v>
          </cell>
          <cell r="G22">
            <v>3528</v>
          </cell>
        </row>
        <row r="23">
          <cell r="E23">
            <v>119</v>
          </cell>
          <cell r="F23">
            <v>106</v>
          </cell>
          <cell r="G23">
            <v>225</v>
          </cell>
        </row>
        <row r="24">
          <cell r="E24">
            <v>403</v>
          </cell>
          <cell r="F24">
            <v>326</v>
          </cell>
          <cell r="G24">
            <v>729</v>
          </cell>
        </row>
        <row r="25">
          <cell r="E25">
            <v>270</v>
          </cell>
          <cell r="F25">
            <v>284</v>
          </cell>
          <cell r="G25">
            <v>554</v>
          </cell>
        </row>
        <row r="26">
          <cell r="E26">
            <v>806</v>
          </cell>
          <cell r="F26">
            <v>569</v>
          </cell>
          <cell r="G26">
            <v>1375</v>
          </cell>
        </row>
        <row r="27">
          <cell r="E27">
            <v>192</v>
          </cell>
          <cell r="F27">
            <v>315</v>
          </cell>
          <cell r="G27">
            <v>507</v>
          </cell>
        </row>
        <row r="28">
          <cell r="E28">
            <v>698</v>
          </cell>
          <cell r="F28">
            <v>205</v>
          </cell>
          <cell r="G28">
            <v>903</v>
          </cell>
        </row>
        <row r="29">
          <cell r="E29">
            <v>355</v>
          </cell>
          <cell r="F29">
            <v>227</v>
          </cell>
          <cell r="G29">
            <v>582</v>
          </cell>
        </row>
        <row r="30">
          <cell r="E30">
            <v>892</v>
          </cell>
          <cell r="F30">
            <v>451</v>
          </cell>
          <cell r="G30">
            <v>1343</v>
          </cell>
        </row>
        <row r="31">
          <cell r="E31">
            <v>3920</v>
          </cell>
          <cell r="F31">
            <v>812</v>
          </cell>
          <cell r="G31">
            <v>4732</v>
          </cell>
        </row>
        <row r="32">
          <cell r="E32">
            <v>1757</v>
          </cell>
          <cell r="F32">
            <v>631</v>
          </cell>
          <cell r="G32">
            <v>2388</v>
          </cell>
        </row>
        <row r="33">
          <cell r="E33">
            <v>1209</v>
          </cell>
          <cell r="F33">
            <v>676</v>
          </cell>
          <cell r="G33">
            <v>1885</v>
          </cell>
        </row>
        <row r="34">
          <cell r="E34">
            <v>1207</v>
          </cell>
          <cell r="F34">
            <v>673</v>
          </cell>
          <cell r="G34">
            <v>1880</v>
          </cell>
        </row>
        <row r="35">
          <cell r="E35">
            <v>3643</v>
          </cell>
          <cell r="F35">
            <v>1583</v>
          </cell>
          <cell r="G35">
            <v>5226</v>
          </cell>
        </row>
        <row r="36">
          <cell r="E36">
            <v>3239</v>
          </cell>
          <cell r="F36">
            <v>1883</v>
          </cell>
          <cell r="G36">
            <v>5122</v>
          </cell>
        </row>
        <row r="37">
          <cell r="E37">
            <v>844</v>
          </cell>
          <cell r="F37">
            <v>627</v>
          </cell>
          <cell r="G37">
            <v>1471</v>
          </cell>
        </row>
        <row r="38">
          <cell r="E38">
            <v>15229</v>
          </cell>
          <cell r="F38">
            <v>5006</v>
          </cell>
          <cell r="G38">
            <v>20235</v>
          </cell>
        </row>
        <row r="39">
          <cell r="E39">
            <v>860</v>
          </cell>
          <cell r="F39">
            <v>250</v>
          </cell>
          <cell r="G39">
            <v>1110</v>
          </cell>
        </row>
        <row r="40">
          <cell r="E40">
            <v>2489</v>
          </cell>
          <cell r="F40">
            <v>2452</v>
          </cell>
          <cell r="G40">
            <v>4941</v>
          </cell>
        </row>
        <row r="41">
          <cell r="C41">
            <v>99668</v>
          </cell>
          <cell r="D41">
            <v>1</v>
          </cell>
          <cell r="E41">
            <v>99668</v>
          </cell>
          <cell r="F41">
            <v>246947</v>
          </cell>
          <cell r="G41">
            <v>346615</v>
          </cell>
        </row>
        <row r="42">
          <cell r="C42">
            <v>223</v>
          </cell>
          <cell r="D42">
            <v>1</v>
          </cell>
          <cell r="E42">
            <v>223</v>
          </cell>
          <cell r="F42">
            <v>1996</v>
          </cell>
          <cell r="G42">
            <v>2219</v>
          </cell>
        </row>
        <row r="43">
          <cell r="C43">
            <v>323</v>
          </cell>
          <cell r="D43">
            <v>1</v>
          </cell>
          <cell r="E43">
            <v>323</v>
          </cell>
          <cell r="F43">
            <v>3958</v>
          </cell>
          <cell r="G43">
            <v>4281</v>
          </cell>
        </row>
        <row r="44">
          <cell r="C44">
            <v>725</v>
          </cell>
          <cell r="D44">
            <v>1</v>
          </cell>
          <cell r="E44">
            <v>725</v>
          </cell>
          <cell r="F44">
            <v>14445</v>
          </cell>
          <cell r="G44">
            <v>15170</v>
          </cell>
        </row>
        <row r="45">
          <cell r="C45">
            <v>896</v>
          </cell>
          <cell r="D45">
            <v>1</v>
          </cell>
          <cell r="E45">
            <v>896</v>
          </cell>
          <cell r="F45">
            <v>14962</v>
          </cell>
          <cell r="G45">
            <v>15858</v>
          </cell>
        </row>
        <row r="46">
          <cell r="C46">
            <v>971</v>
          </cell>
          <cell r="D46">
            <v>1.0069999999999999</v>
          </cell>
          <cell r="E46">
            <v>978</v>
          </cell>
          <cell r="F46">
            <v>12932</v>
          </cell>
          <cell r="G46">
            <v>13910</v>
          </cell>
        </row>
        <row r="47">
          <cell r="C47">
            <v>1077</v>
          </cell>
          <cell r="D47">
            <v>1.008</v>
          </cell>
          <cell r="E47">
            <v>1086</v>
          </cell>
          <cell r="F47">
            <v>5806</v>
          </cell>
          <cell r="G47">
            <v>6892</v>
          </cell>
        </row>
        <row r="48">
          <cell r="C48">
            <v>2749</v>
          </cell>
          <cell r="D48">
            <v>1.0449999999999999</v>
          </cell>
          <cell r="E48">
            <v>2873</v>
          </cell>
          <cell r="F48">
            <v>37115</v>
          </cell>
          <cell r="G48">
            <v>39988</v>
          </cell>
        </row>
        <row r="49">
          <cell r="C49">
            <v>746</v>
          </cell>
          <cell r="D49">
            <v>1.2030000000000001</v>
          </cell>
          <cell r="E49">
            <v>897</v>
          </cell>
          <cell r="F49">
            <v>14900</v>
          </cell>
          <cell r="G49">
            <v>15797</v>
          </cell>
        </row>
        <row r="50">
          <cell r="C50">
            <v>16490</v>
          </cell>
          <cell r="D50">
            <v>1.2390000000000001</v>
          </cell>
          <cell r="E50">
            <v>20431</v>
          </cell>
          <cell r="F50">
            <v>254223</v>
          </cell>
          <cell r="G50">
            <v>274654</v>
          </cell>
        </row>
        <row r="51">
          <cell r="C51">
            <v>301</v>
          </cell>
          <cell r="D51">
            <v>1.425</v>
          </cell>
          <cell r="E51">
            <v>429</v>
          </cell>
          <cell r="F51">
            <v>5995</v>
          </cell>
          <cell r="G51">
            <v>6424</v>
          </cell>
        </row>
        <row r="56">
          <cell r="B56" t="str">
            <v>(4) 2008 - 2018: (2) * (3); 1986 - 2007: from TWIA's annual statements</v>
          </cell>
        </row>
        <row r="58">
          <cell r="B58" t="str">
            <v>(6) 1986 - 2018: (4) + (5); prior years from prior TWIA annual statements</v>
          </cell>
        </row>
      </sheetData>
      <sheetData sheetId="16">
        <row r="11">
          <cell r="L11">
            <v>12</v>
          </cell>
        </row>
        <row r="14">
          <cell r="C14">
            <v>167316</v>
          </cell>
          <cell r="D14">
            <v>139787</v>
          </cell>
          <cell r="E14">
            <v>106761</v>
          </cell>
          <cell r="F14">
            <v>111632</v>
          </cell>
          <cell r="G14">
            <v>120296</v>
          </cell>
          <cell r="H14">
            <v>92426</v>
          </cell>
          <cell r="I14">
            <v>99668</v>
          </cell>
        </row>
        <row r="15">
          <cell r="C15">
            <v>7335</v>
          </cell>
          <cell r="D15">
            <v>359</v>
          </cell>
          <cell r="E15">
            <v>226</v>
          </cell>
          <cell r="F15">
            <v>231</v>
          </cell>
          <cell r="G15">
            <v>223</v>
          </cell>
          <cell r="H15">
            <v>223</v>
          </cell>
          <cell r="I15">
            <v>223</v>
          </cell>
        </row>
        <row r="16">
          <cell r="C16">
            <v>391</v>
          </cell>
          <cell r="D16">
            <v>312</v>
          </cell>
          <cell r="E16">
            <v>322</v>
          </cell>
          <cell r="F16">
            <v>316</v>
          </cell>
          <cell r="G16">
            <v>335</v>
          </cell>
          <cell r="H16">
            <v>324</v>
          </cell>
          <cell r="I16">
            <v>323</v>
          </cell>
        </row>
        <row r="17">
          <cell r="C17">
            <v>515</v>
          </cell>
          <cell r="D17">
            <v>592</v>
          </cell>
          <cell r="E17">
            <v>609</v>
          </cell>
          <cell r="F17">
            <v>682</v>
          </cell>
          <cell r="G17">
            <v>629</v>
          </cell>
          <cell r="H17">
            <v>745</v>
          </cell>
          <cell r="I17">
            <v>725</v>
          </cell>
        </row>
        <row r="18">
          <cell r="C18">
            <v>516</v>
          </cell>
          <cell r="D18">
            <v>679</v>
          </cell>
          <cell r="E18">
            <v>719</v>
          </cell>
          <cell r="F18">
            <v>632</v>
          </cell>
          <cell r="G18">
            <v>917</v>
          </cell>
          <cell r="H18">
            <v>880</v>
          </cell>
          <cell r="I18">
            <v>896</v>
          </cell>
        </row>
        <row r="19">
          <cell r="C19">
            <v>802</v>
          </cell>
          <cell r="D19">
            <v>806</v>
          </cell>
          <cell r="E19">
            <v>715</v>
          </cell>
          <cell r="F19">
            <v>1089</v>
          </cell>
          <cell r="G19">
            <v>991</v>
          </cell>
          <cell r="H19">
            <v>971</v>
          </cell>
        </row>
        <row r="20">
          <cell r="C20">
            <v>516</v>
          </cell>
          <cell r="D20">
            <v>493</v>
          </cell>
          <cell r="E20">
            <v>1085</v>
          </cell>
          <cell r="F20">
            <v>1266</v>
          </cell>
          <cell r="G20">
            <v>1077</v>
          </cell>
        </row>
        <row r="21">
          <cell r="C21">
            <v>973</v>
          </cell>
          <cell r="D21">
            <v>1818</v>
          </cell>
          <cell r="E21">
            <v>2355</v>
          </cell>
          <cell r="F21">
            <v>2749</v>
          </cell>
        </row>
        <row r="22">
          <cell r="C22">
            <v>412</v>
          </cell>
          <cell r="D22">
            <v>678</v>
          </cell>
          <cell r="E22">
            <v>746</v>
          </cell>
        </row>
        <row r="23">
          <cell r="C23">
            <v>891</v>
          </cell>
          <cell r="D23">
            <v>16490</v>
          </cell>
          <cell r="L23">
            <v>43465</v>
          </cell>
        </row>
        <row r="24">
          <cell r="C24">
            <v>301</v>
          </cell>
        </row>
        <row r="48">
          <cell r="C48">
            <v>1.1499999999999999</v>
          </cell>
          <cell r="D48">
            <v>1.03</v>
          </cell>
          <cell r="E48">
            <v>1.151</v>
          </cell>
          <cell r="F48">
            <v>1.0369999999999999</v>
          </cell>
          <cell r="G48">
            <v>1.0009999999999999</v>
          </cell>
          <cell r="H48">
            <v>1.0069999999999999</v>
          </cell>
          <cell r="I4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3">
          <cell r="B33" t="str">
            <v>Inforce-Premium as of Nov 30, 2018 at Present Rates</v>
          </cell>
        </row>
      </sheetData>
      <sheetData sheetId="26"/>
      <sheetData sheetId="27"/>
      <sheetData sheetId="28"/>
      <sheetData sheetId="29">
        <row r="14">
          <cell r="A14">
            <v>1851</v>
          </cell>
          <cell r="B14" t="str">
            <v>Jun</v>
          </cell>
          <cell r="E14">
            <v>1929</v>
          </cell>
          <cell r="F14" t="str">
            <v>Jun</v>
          </cell>
        </row>
        <row r="15">
          <cell r="A15">
            <v>1854</v>
          </cell>
          <cell r="B15" t="str">
            <v>Jun</v>
          </cell>
          <cell r="E15">
            <v>1932</v>
          </cell>
          <cell r="F15" t="str">
            <v>Aug</v>
          </cell>
          <cell r="G15" t="str">
            <v>“Freeport”</v>
          </cell>
        </row>
        <row r="16">
          <cell r="A16">
            <v>1854</v>
          </cell>
          <cell r="B16" t="str">
            <v>Sep</v>
          </cell>
          <cell r="C16" t="str">
            <v>“Matagorda”</v>
          </cell>
          <cell r="E16">
            <v>1933</v>
          </cell>
          <cell r="F16" t="str">
            <v>Aug</v>
          </cell>
        </row>
        <row r="17">
          <cell r="A17">
            <v>1865</v>
          </cell>
          <cell r="B17" t="str">
            <v>Sep</v>
          </cell>
          <cell r="C17" t="str">
            <v>“Sabine River-Lake Calcasieu”</v>
          </cell>
          <cell r="E17">
            <v>1933</v>
          </cell>
          <cell r="F17" t="str">
            <v>Sep</v>
          </cell>
        </row>
        <row r="18">
          <cell r="A18">
            <v>1866</v>
          </cell>
          <cell r="B18" t="str">
            <v>Jul</v>
          </cell>
          <cell r="E18">
            <v>1934</v>
          </cell>
          <cell r="F18" t="str">
            <v>Jul</v>
          </cell>
        </row>
        <row r="19">
          <cell r="A19">
            <v>1867</v>
          </cell>
          <cell r="B19" t="str">
            <v>Oct</v>
          </cell>
          <cell r="C19" t="str">
            <v>“Galveston”</v>
          </cell>
          <cell r="E19">
            <v>1936</v>
          </cell>
          <cell r="F19" t="str">
            <v>Jun</v>
          </cell>
        </row>
        <row r="20">
          <cell r="A20">
            <v>1869</v>
          </cell>
          <cell r="B20" t="str">
            <v>Aug</v>
          </cell>
          <cell r="C20" t="str">
            <v>“Lower Texas Coast"</v>
          </cell>
          <cell r="E20">
            <v>1940</v>
          </cell>
          <cell r="F20" t="str">
            <v>Aug</v>
          </cell>
        </row>
        <row r="21">
          <cell r="A21">
            <v>1875</v>
          </cell>
          <cell r="B21" t="str">
            <v>Sep</v>
          </cell>
          <cell r="E21">
            <v>1941</v>
          </cell>
          <cell r="F21" t="str">
            <v>Sep</v>
          </cell>
        </row>
        <row r="22">
          <cell r="A22">
            <v>1879</v>
          </cell>
          <cell r="B22" t="str">
            <v>Aug</v>
          </cell>
          <cell r="E22">
            <v>1942</v>
          </cell>
          <cell r="F22" t="str">
            <v>Aug</v>
          </cell>
        </row>
        <row r="23">
          <cell r="A23">
            <v>1880</v>
          </cell>
          <cell r="B23" t="str">
            <v>Aug</v>
          </cell>
          <cell r="E23">
            <v>1942</v>
          </cell>
          <cell r="F23" t="str">
            <v>Aug</v>
          </cell>
        </row>
        <row r="24">
          <cell r="A24">
            <v>1882</v>
          </cell>
          <cell r="B24" t="str">
            <v>Sep</v>
          </cell>
          <cell r="E24">
            <v>1943</v>
          </cell>
          <cell r="F24" t="str">
            <v>Jul</v>
          </cell>
        </row>
        <row r="25">
          <cell r="A25">
            <v>1886</v>
          </cell>
          <cell r="B25" t="str">
            <v>Jun</v>
          </cell>
          <cell r="E25">
            <v>1945</v>
          </cell>
          <cell r="F25" t="str">
            <v>Aug</v>
          </cell>
        </row>
        <row r="26">
          <cell r="A26">
            <v>1886</v>
          </cell>
          <cell r="B26" t="str">
            <v>Aug</v>
          </cell>
          <cell r="C26" t="str">
            <v>“Indianola”</v>
          </cell>
          <cell r="E26">
            <v>1947</v>
          </cell>
          <cell r="F26" t="str">
            <v>Aug</v>
          </cell>
        </row>
        <row r="27">
          <cell r="A27">
            <v>1886</v>
          </cell>
          <cell r="B27" t="str">
            <v>Sep</v>
          </cell>
          <cell r="E27">
            <v>1949</v>
          </cell>
          <cell r="F27" t="str">
            <v>Oct</v>
          </cell>
        </row>
        <row r="28">
          <cell r="A28">
            <v>1886</v>
          </cell>
          <cell r="B28" t="str">
            <v>Oct</v>
          </cell>
          <cell r="E28">
            <v>1957</v>
          </cell>
          <cell r="F28" t="str">
            <v>Jun</v>
          </cell>
          <cell r="G28" t="str">
            <v>Audrey</v>
          </cell>
        </row>
        <row r="29">
          <cell r="A29">
            <v>1887</v>
          </cell>
          <cell r="B29" t="str">
            <v>Sep</v>
          </cell>
          <cell r="E29">
            <v>1959</v>
          </cell>
          <cell r="F29" t="str">
            <v>Jul</v>
          </cell>
          <cell r="G29" t="str">
            <v>Debra</v>
          </cell>
        </row>
        <row r="30">
          <cell r="A30">
            <v>1888</v>
          </cell>
          <cell r="B30" t="str">
            <v>Jun</v>
          </cell>
          <cell r="E30">
            <v>1961</v>
          </cell>
          <cell r="F30" t="str">
            <v>Sep</v>
          </cell>
          <cell r="G30" t="str">
            <v>Carla</v>
          </cell>
        </row>
        <row r="31">
          <cell r="A31">
            <v>1891</v>
          </cell>
          <cell r="B31" t="str">
            <v>Jul</v>
          </cell>
          <cell r="E31">
            <v>1963</v>
          </cell>
          <cell r="F31" t="str">
            <v>Sep</v>
          </cell>
          <cell r="G31" t="str">
            <v>Cindy</v>
          </cell>
        </row>
        <row r="32">
          <cell r="A32">
            <v>1895</v>
          </cell>
          <cell r="B32" t="str">
            <v>Aug</v>
          </cell>
          <cell r="E32">
            <v>1967</v>
          </cell>
          <cell r="F32" t="str">
            <v>Sep</v>
          </cell>
          <cell r="G32" t="str">
            <v>Beulah</v>
          </cell>
        </row>
        <row r="33">
          <cell r="A33">
            <v>1897</v>
          </cell>
          <cell r="B33" t="str">
            <v>Sep</v>
          </cell>
          <cell r="E33">
            <v>1970</v>
          </cell>
          <cell r="F33" t="str">
            <v>Aug</v>
          </cell>
          <cell r="G33" t="str">
            <v>Celia</v>
          </cell>
        </row>
        <row r="34">
          <cell r="A34">
            <v>1900</v>
          </cell>
          <cell r="B34" t="str">
            <v>Sep</v>
          </cell>
          <cell r="C34" t="str">
            <v>“Galveston”</v>
          </cell>
          <cell r="E34">
            <v>1971</v>
          </cell>
          <cell r="F34" t="str">
            <v>Sep</v>
          </cell>
          <cell r="G34" t="str">
            <v>Fern</v>
          </cell>
        </row>
        <row r="35">
          <cell r="A35">
            <v>1909</v>
          </cell>
          <cell r="B35" t="str">
            <v>Jun</v>
          </cell>
          <cell r="E35">
            <v>1980</v>
          </cell>
          <cell r="F35" t="str">
            <v>Aug</v>
          </cell>
          <cell r="G35" t="str">
            <v>Allen</v>
          </cell>
        </row>
        <row r="36">
          <cell r="A36">
            <v>1909</v>
          </cell>
          <cell r="B36" t="str">
            <v>Jul</v>
          </cell>
          <cell r="C36" t="str">
            <v>“Velasco”</v>
          </cell>
          <cell r="E36">
            <v>1983</v>
          </cell>
          <cell r="F36" t="str">
            <v>Aug</v>
          </cell>
          <cell r="G36" t="str">
            <v>Alicia</v>
          </cell>
        </row>
        <row r="37">
          <cell r="A37">
            <v>1909</v>
          </cell>
          <cell r="B37" t="str">
            <v>Aug</v>
          </cell>
          <cell r="E37">
            <v>1986</v>
          </cell>
          <cell r="F37" t="str">
            <v>Jun</v>
          </cell>
          <cell r="G37" t="str">
            <v>Bonnie</v>
          </cell>
        </row>
        <row r="38">
          <cell r="A38">
            <v>1910</v>
          </cell>
          <cell r="B38" t="str">
            <v>Sep</v>
          </cell>
          <cell r="E38">
            <v>1989</v>
          </cell>
          <cell r="F38" t="str">
            <v>Aug</v>
          </cell>
          <cell r="G38" t="str">
            <v>Chantal</v>
          </cell>
        </row>
        <row r="39">
          <cell r="A39">
            <v>1912</v>
          </cell>
          <cell r="B39" t="str">
            <v>Oct</v>
          </cell>
          <cell r="E39">
            <v>1989</v>
          </cell>
          <cell r="F39" t="str">
            <v>Oct</v>
          </cell>
          <cell r="G39" t="str">
            <v>Jerry</v>
          </cell>
        </row>
        <row r="40">
          <cell r="A40">
            <v>1913</v>
          </cell>
          <cell r="B40" t="str">
            <v>Jun</v>
          </cell>
          <cell r="E40">
            <v>1999</v>
          </cell>
          <cell r="F40" t="str">
            <v>Aug</v>
          </cell>
          <cell r="G40" t="str">
            <v>Bret</v>
          </cell>
        </row>
        <row r="41">
          <cell r="A41">
            <v>1915</v>
          </cell>
          <cell r="B41" t="str">
            <v>Aug</v>
          </cell>
          <cell r="C41" t="str">
            <v>“Galveston”</v>
          </cell>
          <cell r="E41">
            <v>2003</v>
          </cell>
          <cell r="F41" t="str">
            <v>Jul</v>
          </cell>
          <cell r="G41" t="str">
            <v>Claudette</v>
          </cell>
        </row>
        <row r="42">
          <cell r="A42">
            <v>1916</v>
          </cell>
          <cell r="B42" t="str">
            <v>Aug</v>
          </cell>
          <cell r="C42"/>
          <cell r="E42">
            <v>2005</v>
          </cell>
          <cell r="F42" t="str">
            <v>Sep</v>
          </cell>
          <cell r="G42" t="str">
            <v>Rita</v>
          </cell>
        </row>
        <row r="43">
          <cell r="A43">
            <v>1919</v>
          </cell>
          <cell r="B43" t="str">
            <v>Sep</v>
          </cell>
          <cell r="C43"/>
          <cell r="E43">
            <v>2007</v>
          </cell>
          <cell r="F43" t="str">
            <v>Sep</v>
          </cell>
          <cell r="G43" t="str">
            <v>Humberto</v>
          </cell>
        </row>
        <row r="44">
          <cell r="A44">
            <v>1921</v>
          </cell>
          <cell r="B44" t="str">
            <v>Jun</v>
          </cell>
          <cell r="E44">
            <v>2008</v>
          </cell>
          <cell r="F44" t="str">
            <v>Jul</v>
          </cell>
          <cell r="G44" t="str">
            <v>Dolly</v>
          </cell>
        </row>
        <row r="45">
          <cell r="E45">
            <v>2008</v>
          </cell>
          <cell r="F45" t="str">
            <v>Sep</v>
          </cell>
          <cell r="G45" t="str">
            <v>Ike</v>
          </cell>
        </row>
        <row r="46">
          <cell r="E46">
            <v>2017</v>
          </cell>
          <cell r="F46" t="str">
            <v>Aug</v>
          </cell>
          <cell r="G46" t="str">
            <v>Harvey</v>
          </cell>
        </row>
        <row r="55">
          <cell r="B55" t="str">
            <v>(1), (2) from NOAA Technical Memorandum NWS TPC-5, updated with actual experience through 2018</v>
          </cell>
        </row>
      </sheetData>
      <sheetData sheetId="30">
        <row r="1">
          <cell r="J1" t="str">
            <v>Exhibit 10</v>
          </cell>
        </row>
        <row r="2">
          <cell r="J2" t="str">
            <v>Sheet 1</v>
          </cell>
        </row>
      </sheetData>
      <sheetData sheetId="31"/>
      <sheetData sheetId="32"/>
      <sheetData sheetId="33">
        <row r="14">
          <cell r="D14">
            <v>487353537</v>
          </cell>
          <cell r="E14">
            <v>423074138</v>
          </cell>
          <cell r="F14">
            <v>395551679</v>
          </cell>
        </row>
        <row r="15">
          <cell r="D15">
            <v>496456941</v>
          </cell>
          <cell r="E15">
            <v>451347130</v>
          </cell>
          <cell r="F15">
            <v>409954258</v>
          </cell>
        </row>
        <row r="18">
          <cell r="D18">
            <v>77986786</v>
          </cell>
          <cell r="E18">
            <v>67661211</v>
          </cell>
          <cell r="F18">
            <v>63280811</v>
          </cell>
        </row>
        <row r="19">
          <cell r="G19">
            <v>0.16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G23">
            <v>0</v>
          </cell>
        </row>
        <row r="26">
          <cell r="D26">
            <v>26421698</v>
          </cell>
          <cell r="E26">
            <v>26359831</v>
          </cell>
          <cell r="F26">
            <v>30687177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2">
          <cell r="G32">
            <v>6.2E-2</v>
          </cell>
        </row>
        <row r="35">
          <cell r="D35">
            <v>9626596</v>
          </cell>
          <cell r="E35">
            <v>8281293</v>
          </cell>
          <cell r="F35">
            <v>7590295</v>
          </cell>
        </row>
        <row r="36">
          <cell r="G36">
            <v>0.02</v>
          </cell>
        </row>
        <row r="38">
          <cell r="G38">
            <v>0.16593085671284399</v>
          </cell>
        </row>
        <row r="40">
          <cell r="A40" t="str">
            <v>(8)</v>
          </cell>
          <cell r="B40" t="str">
            <v>Outstanding Class 1 Public Security Repayment</v>
          </cell>
          <cell r="G40">
            <v>0.251</v>
          </cell>
        </row>
        <row r="42">
          <cell r="A42" t="str">
            <v>(9)</v>
          </cell>
          <cell r="B42" t="str">
            <v>Total Fixed Expenses</v>
          </cell>
          <cell r="G42">
            <v>0.47893085671284397</v>
          </cell>
        </row>
        <row r="44">
          <cell r="A44" t="str">
            <v>(10)</v>
          </cell>
          <cell r="B44" t="str">
            <v>Total Variable Expenses</v>
          </cell>
          <cell r="G44">
            <v>0.18</v>
          </cell>
        </row>
        <row r="46">
          <cell r="A46" t="str">
            <v>(11)</v>
          </cell>
          <cell r="B46" t="str">
            <v>CRTF Contribution &amp; UW Contingency &amp; Uncertainty</v>
          </cell>
          <cell r="G46">
            <v>0.05</v>
          </cell>
        </row>
        <row r="54">
          <cell r="B54" t="str">
            <v>(1) - (6) From TWIA's Statutory Annual Statements and Insurance Expense Exhibits</v>
          </cell>
        </row>
        <row r="55">
          <cell r="B55" t="str">
            <v>(7) Exhibit 11, Sheet 2</v>
          </cell>
        </row>
        <row r="56">
          <cell r="B56" t="str">
            <v xml:space="preserve">(8) Outstanding Class 1 Public Security issued in 2014, Security depleted due to Hurricane Harvey; </v>
          </cell>
        </row>
        <row r="57">
          <cell r="B57" t="str">
            <v>0.251= Annual principal and interest payment $80.3M/Prospective written premium at present rate$320.396M</v>
          </cell>
        </row>
        <row r="58">
          <cell r="B58" t="str">
            <v>$320.396M = TWIA 2018 written premium $395,551,679*(1-10%)^2; 10% from Exhibit 11, sheet 2, (3)</v>
          </cell>
        </row>
        <row r="59">
          <cell r="B59" t="str">
            <v>(9) = (5) + (7) + (8)</v>
          </cell>
        </row>
        <row r="60">
          <cell r="B60" t="str">
            <v>(10) = (3) + (4) + (6)</v>
          </cell>
        </row>
        <row r="61">
          <cell r="B61" t="str">
            <v>(11) CRTF contribution selected judgmentally; Class 1 repayment based on projected $80 million in debt service</v>
          </cell>
        </row>
        <row r="62">
          <cell r="B62" t="str">
            <v>(12) = 100% - (10) - (11)</v>
          </cell>
        </row>
      </sheetData>
      <sheetData sheetId="34">
        <row r="10">
          <cell r="D10">
            <v>87905608.276666671</v>
          </cell>
          <cell r="J10">
            <v>43617</v>
          </cell>
          <cell r="K10">
            <v>43982</v>
          </cell>
        </row>
        <row r="13">
          <cell r="C13" t="str">
            <v>100% of $2100M XS $2100M</v>
          </cell>
          <cell r="D13">
            <v>34645345</v>
          </cell>
        </row>
        <row r="18">
          <cell r="J18">
            <v>0.9</v>
          </cell>
        </row>
        <row r="20">
          <cell r="D20">
            <v>19178101</v>
          </cell>
        </row>
        <row r="22">
          <cell r="D22">
            <v>26911723</v>
          </cell>
        </row>
        <row r="25">
          <cell r="L25">
            <v>69991684</v>
          </cell>
        </row>
        <row r="32">
          <cell r="D32">
            <v>361909628</v>
          </cell>
        </row>
        <row r="34">
          <cell r="D34">
            <v>0.16593085671284399</v>
          </cell>
        </row>
        <row r="43">
          <cell r="B43" t="str">
            <v>(4) = (2c) * [(1+ (3)) ^ 1.000](projected exposure growth from 11/30/2018 to 12/1/2019)</v>
          </cell>
        </row>
        <row r="46">
          <cell r="B46" t="str">
            <v>(7) = (6) adjusted for exposure growth trend * [(1+ (3)) ^ 1.417] (projected exposure growth from 7/1/2018 to 12/1/2019)</v>
          </cell>
        </row>
      </sheetData>
      <sheetData sheetId="35"/>
      <sheetData sheetId="36">
        <row r="14">
          <cell r="C14">
            <v>10672677</v>
          </cell>
          <cell r="D14">
            <v>15758330</v>
          </cell>
          <cell r="F14">
            <v>26510501</v>
          </cell>
        </row>
        <row r="15">
          <cell r="C15">
            <v>12865905</v>
          </cell>
          <cell r="D15">
            <v>19259265</v>
          </cell>
          <cell r="F15">
            <v>32419287</v>
          </cell>
        </row>
        <row r="16">
          <cell r="C16">
            <v>15640660</v>
          </cell>
          <cell r="D16">
            <v>24504127</v>
          </cell>
          <cell r="F16">
            <v>40358575</v>
          </cell>
        </row>
        <row r="17">
          <cell r="C17">
            <v>16536186</v>
          </cell>
          <cell r="D17">
            <v>25783455</v>
          </cell>
          <cell r="F17">
            <v>42462844</v>
          </cell>
        </row>
        <row r="18">
          <cell r="C18">
            <v>16558977</v>
          </cell>
          <cell r="D18">
            <v>27833800</v>
          </cell>
          <cell r="F18">
            <v>44410914</v>
          </cell>
        </row>
        <row r="19">
          <cell r="C19">
            <v>17394142.049999997</v>
          </cell>
          <cell r="D19">
            <v>27168992</v>
          </cell>
          <cell r="F19">
            <v>44581218</v>
          </cell>
        </row>
        <row r="20">
          <cell r="C20">
            <v>17332561</v>
          </cell>
          <cell r="D20">
            <v>29762296</v>
          </cell>
          <cell r="F20">
            <v>48012426</v>
          </cell>
        </row>
        <row r="21">
          <cell r="C21">
            <v>17544251</v>
          </cell>
          <cell r="D21">
            <v>36220622.519999996</v>
          </cell>
          <cell r="F21">
            <v>54630727</v>
          </cell>
        </row>
        <row r="22">
          <cell r="C22">
            <v>24013525</v>
          </cell>
          <cell r="D22">
            <v>48856422.25</v>
          </cell>
          <cell r="F22">
            <v>72967831</v>
          </cell>
        </row>
        <row r="23">
          <cell r="C23">
            <v>29220514</v>
          </cell>
          <cell r="D23">
            <v>58573191</v>
          </cell>
          <cell r="F23">
            <v>87987279</v>
          </cell>
        </row>
        <row r="24">
          <cell r="C24">
            <v>31009323</v>
          </cell>
          <cell r="D24">
            <v>71292702</v>
          </cell>
          <cell r="F24">
            <v>102384351</v>
          </cell>
        </row>
        <row r="25">
          <cell r="C25">
            <v>35740174</v>
          </cell>
          <cell r="D25">
            <v>78094458</v>
          </cell>
          <cell r="F25">
            <v>113927701</v>
          </cell>
        </row>
        <row r="26">
          <cell r="C26">
            <v>76847840</v>
          </cell>
          <cell r="D26">
            <v>119658576</v>
          </cell>
          <cell r="F26">
            <v>196833235</v>
          </cell>
        </row>
        <row r="27">
          <cell r="C27">
            <v>110951718</v>
          </cell>
          <cell r="D27">
            <v>203561196</v>
          </cell>
          <cell r="F27">
            <v>315139307</v>
          </cell>
        </row>
        <row r="28">
          <cell r="C28">
            <v>98036118.420000017</v>
          </cell>
          <cell r="D28">
            <v>232925989.76999998</v>
          </cell>
          <cell r="F28">
            <v>331057645</v>
          </cell>
        </row>
        <row r="29">
          <cell r="C29">
            <v>111269572.63</v>
          </cell>
          <cell r="D29">
            <v>269535059.02999997</v>
          </cell>
          <cell r="F29">
            <v>382342402</v>
          </cell>
        </row>
        <row r="30">
          <cell r="C30">
            <v>102174679.52999991</v>
          </cell>
          <cell r="D30">
            <v>278116922.00999999</v>
          </cell>
          <cell r="F30">
            <v>385549582</v>
          </cell>
        </row>
        <row r="31">
          <cell r="C31">
            <v>100017021</v>
          </cell>
          <cell r="D31">
            <v>307494236.20000005</v>
          </cell>
          <cell r="F31">
            <v>403748164</v>
          </cell>
        </row>
        <row r="32">
          <cell r="C32">
            <v>110524396.51999998</v>
          </cell>
          <cell r="D32">
            <v>335795725.19999981</v>
          </cell>
          <cell r="F32">
            <v>443479701</v>
          </cell>
        </row>
        <row r="33">
          <cell r="C33">
            <v>112904624</v>
          </cell>
          <cell r="D33">
            <v>360838080.7099998</v>
          </cell>
          <cell r="F33">
            <v>472739474</v>
          </cell>
        </row>
        <row r="34">
          <cell r="C34">
            <v>104642688</v>
          </cell>
          <cell r="D34">
            <v>389333918.13999987</v>
          </cell>
          <cell r="F34">
            <v>494036010</v>
          </cell>
        </row>
        <row r="35">
          <cell r="C35">
            <v>98715934</v>
          </cell>
          <cell r="D35">
            <v>407969846.0800004</v>
          </cell>
          <cell r="F35">
            <v>503824316</v>
          </cell>
        </row>
        <row r="36">
          <cell r="C36">
            <v>88278690</v>
          </cell>
          <cell r="D36">
            <v>399074847</v>
          </cell>
          <cell r="F36">
            <v>487353537</v>
          </cell>
        </row>
        <row r="37">
          <cell r="C37">
            <v>70749081</v>
          </cell>
          <cell r="D37">
            <v>352368052</v>
          </cell>
          <cell r="F37">
            <v>423074138</v>
          </cell>
        </row>
        <row r="38">
          <cell r="C38">
            <v>65696833</v>
          </cell>
          <cell r="D38">
            <v>331676957</v>
          </cell>
          <cell r="F38">
            <v>395551679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12E3-CA3A-498A-86A8-DBA27C6A1B4E}">
  <dimension ref="A15:H17"/>
  <sheetViews>
    <sheetView tabSelected="1" topLeftCell="A10" zoomScaleNormal="100" workbookViewId="0">
      <selection activeCell="F42" sqref="F42"/>
    </sheetView>
  </sheetViews>
  <sheetFormatPr defaultRowHeight="11.25" x14ac:dyDescent="0.2"/>
  <sheetData>
    <row r="15" spans="1:8" ht="15.75" x14ac:dyDescent="0.25">
      <c r="A15" s="343" t="s">
        <v>0</v>
      </c>
      <c r="B15" s="343"/>
      <c r="C15" s="343"/>
      <c r="D15" s="343"/>
      <c r="E15" s="343"/>
      <c r="F15" s="343"/>
      <c r="G15" s="343"/>
      <c r="H15" s="343"/>
    </row>
    <row r="16" spans="1:8" ht="15.75" x14ac:dyDescent="0.25">
      <c r="A16" s="343" t="s">
        <v>1</v>
      </c>
      <c r="B16" s="343"/>
      <c r="C16" s="343"/>
      <c r="D16" s="343"/>
      <c r="E16" s="343"/>
      <c r="F16" s="343"/>
      <c r="G16" s="343"/>
      <c r="H16" s="343"/>
    </row>
    <row r="17" spans="1:8" ht="15.75" x14ac:dyDescent="0.25">
      <c r="A17" s="343" t="s">
        <v>403</v>
      </c>
      <c r="B17" s="343"/>
      <c r="C17" s="343"/>
      <c r="D17" s="343"/>
      <c r="E17" s="343"/>
      <c r="F17" s="343"/>
      <c r="G17" s="343"/>
      <c r="H17" s="343"/>
    </row>
  </sheetData>
  <mergeCells count="3">
    <mergeCell ref="A15:H15"/>
    <mergeCell ref="A16:H16"/>
    <mergeCell ref="A17:H17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69"/>
  <sheetViews>
    <sheetView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53</v>
      </c>
      <c r="B4" s="12"/>
      <c r="K4" s="2"/>
    </row>
    <row r="5" spans="1:12" x14ac:dyDescent="0.2">
      <c r="A5" t="s">
        <v>46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102" t="s">
        <v>335</v>
      </c>
      <c r="E9" t="s">
        <v>36</v>
      </c>
      <c r="K9" s="2"/>
      <c r="L9" s="27"/>
    </row>
    <row r="10" spans="1:12" x14ac:dyDescent="0.2">
      <c r="A10" t="s">
        <v>54</v>
      </c>
      <c r="C10" t="s">
        <v>8</v>
      </c>
      <c r="D10" t="s">
        <v>57</v>
      </c>
      <c r="E10" t="s">
        <v>8</v>
      </c>
      <c r="K10" s="2"/>
    </row>
    <row r="11" spans="1:12" x14ac:dyDescent="0.2">
      <c r="A11" s="9" t="s">
        <v>55</v>
      </c>
      <c r="B11" s="9"/>
      <c r="C11" s="9" t="s">
        <v>56</v>
      </c>
      <c r="D11" s="9" t="s">
        <v>38</v>
      </c>
      <c r="E11" s="9" t="s">
        <v>42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33">
        <f>'2.4b'!C14</f>
        <v>536746</v>
      </c>
      <c r="D14" s="44">
        <v>1</v>
      </c>
      <c r="E14" s="31">
        <f t="shared" ref="E14:E23" si="1">ROUND(C14*D14,0)</f>
        <v>536746</v>
      </c>
      <c r="K14" s="2"/>
    </row>
    <row r="15" spans="1:12" x14ac:dyDescent="0.2">
      <c r="A15" t="str">
        <f t="shared" si="0"/>
        <v>2010</v>
      </c>
      <c r="B15" s="25"/>
      <c r="C15" s="33">
        <f>'2.4b'!C15</f>
        <v>3445556</v>
      </c>
      <c r="D15" s="36">
        <f>INDEX('ldf 3.1a'!$C$46:$K$46,11-MATCH(A15,A$14:A$23))</f>
        <v>1</v>
      </c>
      <c r="E15" s="31">
        <f t="shared" si="1"/>
        <v>3445556</v>
      </c>
      <c r="K15" s="2"/>
    </row>
    <row r="16" spans="1:12" x14ac:dyDescent="0.2">
      <c r="A16" t="str">
        <f t="shared" si="0"/>
        <v>2011</v>
      </c>
      <c r="B16" s="25"/>
      <c r="C16" s="33">
        <f>'2.4b'!C16</f>
        <v>19199535</v>
      </c>
      <c r="D16" s="36">
        <f>INDEX('ldf 3.1a'!$C$46:$K$46,11-MATCH(A16,A$14:A$23))</f>
        <v>1</v>
      </c>
      <c r="E16" s="31">
        <f t="shared" si="1"/>
        <v>19199535</v>
      </c>
      <c r="K16" s="2"/>
    </row>
    <row r="17" spans="1:13" x14ac:dyDescent="0.2">
      <c r="A17" t="str">
        <f t="shared" si="0"/>
        <v>2012</v>
      </c>
      <c r="B17" s="25"/>
      <c r="C17" s="33">
        <f>'2.4b'!C17</f>
        <v>20626638</v>
      </c>
      <c r="D17" s="36">
        <f>INDEX('ldf 3.1a'!$C$46:$K$46,11-MATCH(A17,A$14:A$23))</f>
        <v>1</v>
      </c>
      <c r="E17" s="31">
        <f t="shared" si="1"/>
        <v>20626638</v>
      </c>
      <c r="K17" s="2"/>
    </row>
    <row r="18" spans="1:13" x14ac:dyDescent="0.2">
      <c r="A18" t="str">
        <f t="shared" si="0"/>
        <v>2013</v>
      </c>
      <c r="B18" s="25"/>
      <c r="C18" s="33">
        <f>'2.4b'!C18</f>
        <v>6175709</v>
      </c>
      <c r="D18" s="36">
        <f>INDEX('ldf 3.1a'!$C$46:$K$46,11-MATCH(A18,A$14:A$23))</f>
        <v>1.0009999999999999</v>
      </c>
      <c r="E18" s="31">
        <f t="shared" si="1"/>
        <v>6181885</v>
      </c>
      <c r="K18" s="2"/>
    </row>
    <row r="19" spans="1:13" x14ac:dyDescent="0.2">
      <c r="A19" t="str">
        <f t="shared" si="0"/>
        <v>2014</v>
      </c>
      <c r="B19" s="25"/>
      <c r="C19" s="33">
        <f>'2.4b'!C19</f>
        <v>1617725</v>
      </c>
      <c r="D19" s="36">
        <f>INDEX('ldf 3.1a'!$C$46:$K$46,11-MATCH(A19,A$14:A$23))</f>
        <v>1.0049999999999999</v>
      </c>
      <c r="E19" s="31">
        <f t="shared" si="1"/>
        <v>1625814</v>
      </c>
      <c r="K19" s="2"/>
    </row>
    <row r="20" spans="1:13" x14ac:dyDescent="0.2">
      <c r="A20" t="str">
        <f t="shared" si="0"/>
        <v>2015</v>
      </c>
      <c r="B20" s="25"/>
      <c r="C20" s="33">
        <f>'2.4b'!C20</f>
        <v>9404508</v>
      </c>
      <c r="D20" s="36">
        <f>INDEX('ldf 3.1a'!$C$46:$K$46,11-MATCH(A20,A$14:A$23))</f>
        <v>1.0169999999999999</v>
      </c>
      <c r="E20" s="31">
        <f t="shared" si="1"/>
        <v>9564385</v>
      </c>
      <c r="K20" s="2"/>
    </row>
    <row r="21" spans="1:13" x14ac:dyDescent="0.2">
      <c r="A21" t="str">
        <f t="shared" si="0"/>
        <v>2016</v>
      </c>
      <c r="B21" s="25"/>
      <c r="C21" s="33">
        <f>'2.4b'!C21</f>
        <v>9521301</v>
      </c>
      <c r="D21" s="36">
        <f>INDEX('ldf 3.1a'!$C$46:$K$46,11-MATCH(A21,A$14:A$23))</f>
        <v>1.0389999999999999</v>
      </c>
      <c r="E21" s="31">
        <f t="shared" si="1"/>
        <v>9892632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49">
        <f>'2.4b'!C22</f>
        <v>7579676</v>
      </c>
      <c r="D22" s="36">
        <f>INDEX('ldf 3.1a'!$C$46:$K$46,11-MATCH(A22,A$14:A$23))</f>
        <v>1.0940000000000001</v>
      </c>
      <c r="E22" s="128">
        <f t="shared" si="1"/>
        <v>8292166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49">
        <f>'2.4b'!C23</f>
        <v>962096</v>
      </c>
      <c r="D23" s="36">
        <f>INDEX('ldf 3.1a'!$C$46:$K$46,11-MATCH(A23,A$14:A$23))</f>
        <v>1.272</v>
      </c>
      <c r="E23" s="128">
        <f t="shared" si="1"/>
        <v>1223786</v>
      </c>
      <c r="K23" s="2"/>
      <c r="L23" s="88"/>
      <c r="M23" s="88"/>
    </row>
    <row r="24" spans="1:13" x14ac:dyDescent="0.2">
      <c r="A24" s="9"/>
      <c r="B24" s="26"/>
      <c r="C24" s="34"/>
      <c r="D24" s="205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79069490</v>
      </c>
      <c r="E26" s="19">
        <f>SUM(E14:E24)</f>
        <v>80589143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"&amp;'2.4b'!$J$1&amp;", "&amp;'2.4b'!$J$2&amp;", as of "&amp;TEXT($M$22,"m/d/yy")</f>
        <v>(2) Exhibit 2, Sheet 4b, as of 12/31/18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69"/>
  <sheetViews>
    <sheetView zoomScaleNormal="100" workbookViewId="0">
      <selection activeCell="C21" sqref="C2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59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53</v>
      </c>
      <c r="B4" s="12"/>
      <c r="K4" s="2"/>
    </row>
    <row r="5" spans="1:12" x14ac:dyDescent="0.2">
      <c r="A5" t="s">
        <v>48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102" t="s">
        <v>335</v>
      </c>
      <c r="E9" t="s">
        <v>36</v>
      </c>
      <c r="K9" s="2"/>
      <c r="L9" s="27"/>
    </row>
    <row r="10" spans="1:12" x14ac:dyDescent="0.2">
      <c r="A10" t="s">
        <v>54</v>
      </c>
      <c r="C10" t="s">
        <v>8</v>
      </c>
      <c r="D10" t="s">
        <v>57</v>
      </c>
      <c r="E10" t="s">
        <v>8</v>
      </c>
      <c r="K10" s="2"/>
    </row>
    <row r="11" spans="1:12" x14ac:dyDescent="0.2">
      <c r="A11" s="9" t="s">
        <v>55</v>
      </c>
      <c r="B11" s="9"/>
      <c r="C11" s="9" t="s">
        <v>56</v>
      </c>
      <c r="D11" s="9" t="s">
        <v>38</v>
      </c>
      <c r="E11" s="9" t="s">
        <v>42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33">
        <f>'2.4c'!C14</f>
        <v>1977943</v>
      </c>
      <c r="D14" s="44">
        <v>1</v>
      </c>
      <c r="E14" s="31">
        <f t="shared" ref="E14:E23" si="1">ROUND(C14*D14,0)</f>
        <v>1977943</v>
      </c>
      <c r="K14" s="2"/>
    </row>
    <row r="15" spans="1:12" x14ac:dyDescent="0.2">
      <c r="A15" t="str">
        <f t="shared" si="0"/>
        <v>2010</v>
      </c>
      <c r="B15" s="25"/>
      <c r="C15" s="33">
        <f>'2.4c'!C15</f>
        <v>6663982</v>
      </c>
      <c r="D15" s="36">
        <f>INDEX('ldf 3.1a'!$C$46:$K$46,11-MATCH(A15,A$14:A$23))</f>
        <v>1</v>
      </c>
      <c r="E15" s="31">
        <f t="shared" si="1"/>
        <v>6663982</v>
      </c>
      <c r="K15" s="2"/>
    </row>
    <row r="16" spans="1:12" x14ac:dyDescent="0.2">
      <c r="A16" t="str">
        <f t="shared" si="0"/>
        <v>2011</v>
      </c>
      <c r="B16" s="25"/>
      <c r="C16" s="33">
        <f>'2.4c'!C16</f>
        <v>56124736</v>
      </c>
      <c r="D16" s="36">
        <f>INDEX('ldf 3.1a'!$C$46:$K$46,11-MATCH(A16,A$14:A$23))</f>
        <v>1</v>
      </c>
      <c r="E16" s="31">
        <f t="shared" si="1"/>
        <v>56124736</v>
      </c>
      <c r="K16" s="2"/>
    </row>
    <row r="17" spans="1:13" x14ac:dyDescent="0.2">
      <c r="A17" t="str">
        <f t="shared" si="0"/>
        <v>2012</v>
      </c>
      <c r="B17" s="25"/>
      <c r="C17" s="33">
        <f>'2.4c'!C17</f>
        <v>18946421</v>
      </c>
      <c r="D17" s="36">
        <f>INDEX('ldf 3.1a'!$C$46:$K$46,11-MATCH(A17,A$14:A$23))</f>
        <v>1</v>
      </c>
      <c r="E17" s="31">
        <f t="shared" si="1"/>
        <v>18946421</v>
      </c>
      <c r="K17" s="2"/>
    </row>
    <row r="18" spans="1:13" x14ac:dyDescent="0.2">
      <c r="A18" t="str">
        <f t="shared" si="0"/>
        <v>2013</v>
      </c>
      <c r="B18" s="25"/>
      <c r="C18" s="33">
        <f>'2.4c'!C18</f>
        <v>4828213</v>
      </c>
      <c r="D18" s="36">
        <f>INDEX('ldf 3.1a'!$C$46:$K$46,11-MATCH(A18,A$14:A$23))</f>
        <v>1.0009999999999999</v>
      </c>
      <c r="E18" s="31">
        <f t="shared" si="1"/>
        <v>4833041</v>
      </c>
      <c r="K18" s="2"/>
    </row>
    <row r="19" spans="1:13" x14ac:dyDescent="0.2">
      <c r="A19" t="str">
        <f t="shared" si="0"/>
        <v>2014</v>
      </c>
      <c r="B19" s="25"/>
      <c r="C19" s="33">
        <f>'2.4c'!C19</f>
        <v>2844586</v>
      </c>
      <c r="D19" s="36">
        <f>INDEX('ldf 3.1a'!$C$46:$K$46,11-MATCH(A19,A$14:A$23))</f>
        <v>1.0049999999999999</v>
      </c>
      <c r="E19" s="31">
        <f t="shared" si="1"/>
        <v>2858809</v>
      </c>
      <c r="K19" s="2"/>
    </row>
    <row r="20" spans="1:13" x14ac:dyDescent="0.2">
      <c r="A20" t="str">
        <f t="shared" si="0"/>
        <v>2015</v>
      </c>
      <c r="B20" s="25"/>
      <c r="C20" s="33">
        <f>'2.4c'!C20</f>
        <v>86349948</v>
      </c>
      <c r="D20" s="36">
        <f>INDEX('ldf 3.1a'!$C$46:$K$46,11-MATCH(A20,A$14:A$23))</f>
        <v>1.0169999999999999</v>
      </c>
      <c r="E20" s="31">
        <f t="shared" si="1"/>
        <v>87817897</v>
      </c>
      <c r="K20" s="2"/>
    </row>
    <row r="21" spans="1:13" x14ac:dyDescent="0.2">
      <c r="A21" t="str">
        <f t="shared" si="0"/>
        <v>2016</v>
      </c>
      <c r="B21" s="25"/>
      <c r="C21" s="33">
        <f>'2.4c'!C21</f>
        <v>12153391</v>
      </c>
      <c r="D21" s="36">
        <f>INDEX('ldf 3.1a'!$C$46:$K$46,11-MATCH(A21,A$14:A$23))</f>
        <v>1.0389999999999999</v>
      </c>
      <c r="E21" s="31">
        <f t="shared" si="1"/>
        <v>12627373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49">
        <f>'2.4c'!C22</f>
        <v>21675933</v>
      </c>
      <c r="D22" s="36">
        <f>INDEX('ldf 3.1a'!$C$46:$K$46,11-MATCH(A22,A$14:A$23))</f>
        <v>1.0940000000000001</v>
      </c>
      <c r="E22" s="128">
        <f t="shared" si="1"/>
        <v>23713471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49">
        <f>'2.4c'!C23</f>
        <v>5739613</v>
      </c>
      <c r="D23" s="36">
        <f>INDEX('ldf 3.1a'!$C$46:$K$46,11-MATCH(A23,A$14:A$23))</f>
        <v>1.272</v>
      </c>
      <c r="E23" s="128">
        <f t="shared" si="1"/>
        <v>7300788</v>
      </c>
      <c r="K23" s="2"/>
      <c r="L23" s="88"/>
      <c r="M23" s="88"/>
    </row>
    <row r="24" spans="1:13" x14ac:dyDescent="0.2">
      <c r="A24" s="9"/>
      <c r="B24" s="26"/>
      <c r="C24" s="34"/>
      <c r="D24" s="205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217304766</v>
      </c>
      <c r="E26" s="19">
        <f>SUM(E14:E24)</f>
        <v>222864461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"&amp;'2.4c'!$J$1&amp;", "&amp;'2.4c'!$J$2&amp;", as of "&amp;TEXT($M$22,"m/d/yy")</f>
        <v>(2) Exhibit 2, Sheet 4c, as of 12/31/18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M69"/>
  <sheetViews>
    <sheetView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53</v>
      </c>
      <c r="B4" s="12"/>
      <c r="K4" s="2"/>
    </row>
    <row r="5" spans="1:12" x14ac:dyDescent="0.2">
      <c r="A5" t="s">
        <v>355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102" t="s">
        <v>335</v>
      </c>
      <c r="E9" t="s">
        <v>36</v>
      </c>
      <c r="K9" s="2"/>
      <c r="L9" s="27"/>
    </row>
    <row r="10" spans="1:12" x14ac:dyDescent="0.2">
      <c r="A10" t="s">
        <v>54</v>
      </c>
      <c r="C10" t="s">
        <v>8</v>
      </c>
      <c r="D10" t="s">
        <v>57</v>
      </c>
      <c r="E10" t="s">
        <v>8</v>
      </c>
      <c r="K10" s="2"/>
    </row>
    <row r="11" spans="1:12" x14ac:dyDescent="0.2">
      <c r="A11" s="9" t="s">
        <v>55</v>
      </c>
      <c r="B11" s="9"/>
      <c r="C11" s="9" t="s">
        <v>56</v>
      </c>
      <c r="D11" s="9" t="s">
        <v>38</v>
      </c>
      <c r="E11" s="9" t="s">
        <v>42</v>
      </c>
      <c r="K11" s="2"/>
    </row>
    <row r="12" spans="1:12" x14ac:dyDescent="0.2">
      <c r="A12" s="7" t="str">
        <f>TEXT(COLUMN(),"(#)")</f>
        <v>(1)</v>
      </c>
      <c r="B12" s="7"/>
      <c r="C12" s="7" t="str">
        <f>TEXT(COLUMN()-1,"(#)")</f>
        <v>(2)</v>
      </c>
      <c r="D12" s="7" t="str">
        <f>TEXT(COLUMN()-1,"(#)")</f>
        <v>(3)</v>
      </c>
      <c r="E12" s="7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33">
        <f>'2.4d'!C14</f>
        <v>551702</v>
      </c>
      <c r="D14" s="44">
        <v>1</v>
      </c>
      <c r="E14" s="31">
        <f>ROUND(C14*D14,0)</f>
        <v>551702</v>
      </c>
      <c r="K14" s="2"/>
    </row>
    <row r="15" spans="1:12" x14ac:dyDescent="0.2">
      <c r="A15" t="str">
        <f t="shared" si="0"/>
        <v>2010</v>
      </c>
      <c r="B15" s="25"/>
      <c r="C15" s="33">
        <f>'2.4d'!C15</f>
        <v>182872</v>
      </c>
      <c r="D15" s="36">
        <f>INDEX('ldf 3.1a'!$C$46:$K$46,11-MATCH(A15,A$14:A$23))</f>
        <v>1</v>
      </c>
      <c r="E15" s="31">
        <f t="shared" ref="E15:E22" si="1">ROUND(C15*D15,0)</f>
        <v>182872</v>
      </c>
      <c r="K15" s="2"/>
    </row>
    <row r="16" spans="1:12" x14ac:dyDescent="0.2">
      <c r="A16" t="str">
        <f t="shared" si="0"/>
        <v>2011</v>
      </c>
      <c r="B16" s="25"/>
      <c r="C16" s="33">
        <f>'2.4d'!C16</f>
        <v>54382</v>
      </c>
      <c r="D16" s="36">
        <f>INDEX('ldf 3.1a'!$C$46:$K$46,11-MATCH(A16,A$14:A$23))</f>
        <v>1</v>
      </c>
      <c r="E16" s="31">
        <f t="shared" si="1"/>
        <v>54382</v>
      </c>
      <c r="K16" s="2"/>
    </row>
    <row r="17" spans="1:13" x14ac:dyDescent="0.2">
      <c r="A17" t="str">
        <f t="shared" si="0"/>
        <v>2012</v>
      </c>
      <c r="B17" s="25"/>
      <c r="C17" s="33">
        <f>'2.4d'!C17</f>
        <v>259290</v>
      </c>
      <c r="D17" s="36">
        <f>INDEX('ldf 3.1a'!$C$46:$K$46,11-MATCH(A17,A$14:A$23))</f>
        <v>1</v>
      </c>
      <c r="E17" s="31">
        <f t="shared" si="1"/>
        <v>259290</v>
      </c>
      <c r="K17" s="2"/>
    </row>
    <row r="18" spans="1:13" x14ac:dyDescent="0.2">
      <c r="A18" t="str">
        <f t="shared" si="0"/>
        <v>2013</v>
      </c>
      <c r="B18" s="25"/>
      <c r="C18" s="33">
        <f>'2.4d'!C18</f>
        <v>502759</v>
      </c>
      <c r="D18" s="36">
        <f>INDEX('ldf 3.1a'!$C$46:$K$46,11-MATCH(A18,A$14:A$23))</f>
        <v>1.0009999999999999</v>
      </c>
      <c r="E18" s="31">
        <f t="shared" si="1"/>
        <v>503262</v>
      </c>
      <c r="K18" s="2"/>
    </row>
    <row r="19" spans="1:13" x14ac:dyDescent="0.2">
      <c r="A19" t="str">
        <f t="shared" si="0"/>
        <v>2014</v>
      </c>
      <c r="B19" s="25"/>
      <c r="C19" s="33">
        <f>'2.4d'!C19</f>
        <v>30748</v>
      </c>
      <c r="D19" s="36">
        <f>INDEX('ldf 3.1a'!$C$46:$K$46,11-MATCH(A19,A$14:A$23))</f>
        <v>1.0049999999999999</v>
      </c>
      <c r="E19" s="31">
        <f t="shared" si="1"/>
        <v>30902</v>
      </c>
      <c r="K19" s="2"/>
    </row>
    <row r="20" spans="1:13" x14ac:dyDescent="0.2">
      <c r="A20" t="str">
        <f t="shared" si="0"/>
        <v>2015</v>
      </c>
      <c r="B20" s="25"/>
      <c r="C20" s="33">
        <f>'2.4d'!C20</f>
        <v>322838</v>
      </c>
      <c r="D20" s="36">
        <f>INDEX('ldf 3.1a'!$C$46:$K$46,11-MATCH(A20,A$14:A$23))</f>
        <v>1.0169999999999999</v>
      </c>
      <c r="E20" s="31">
        <f t="shared" si="1"/>
        <v>328326</v>
      </c>
      <c r="K20" s="2"/>
    </row>
    <row r="21" spans="1:13" x14ac:dyDescent="0.2">
      <c r="A21" t="str">
        <f t="shared" si="0"/>
        <v>2016</v>
      </c>
      <c r="B21" s="25"/>
      <c r="C21" s="33">
        <f>'2.4d'!C21</f>
        <v>446449</v>
      </c>
      <c r="D21" s="36">
        <f>INDEX('ldf 3.1a'!$C$46:$K$46,11-MATCH(A21,A$14:A$23))</f>
        <v>1.0389999999999999</v>
      </c>
      <c r="E21" s="31">
        <f t="shared" si="1"/>
        <v>463861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49">
        <f>'2.4d'!C22</f>
        <v>481121</v>
      </c>
      <c r="D22" s="36">
        <f>INDEX('ldf 3.1a'!$C$46:$K$46,11-MATCH(A22,A$14:A$23))</f>
        <v>1.0940000000000001</v>
      </c>
      <c r="E22" s="128">
        <f t="shared" si="1"/>
        <v>526346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49">
        <f>'2.4d'!C23</f>
        <v>239529</v>
      </c>
      <c r="D23" s="36">
        <f>INDEX('ldf 3.1a'!$C$46:$K$46,11-MATCH(A23,A$14:A$23))</f>
        <v>1.272</v>
      </c>
      <c r="E23" s="128">
        <f>ROUND(C23*D23,0)</f>
        <v>304681</v>
      </c>
      <c r="K23" s="2"/>
      <c r="L23" s="88"/>
      <c r="M23" s="88"/>
    </row>
    <row r="24" spans="1:13" x14ac:dyDescent="0.2">
      <c r="A24" s="9"/>
      <c r="B24" s="26"/>
      <c r="C24" s="34"/>
      <c r="D24" s="205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SUM(C14:C23)</f>
        <v>3071690</v>
      </c>
      <c r="E26" s="19">
        <f>SUM(E14:E23)</f>
        <v>3205624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"&amp;'2.4d'!$J$1&amp;", "&amp;'2.4d'!$J$2&amp;", as of "&amp;TEXT($M$22,"m/d/yy")</f>
        <v>(2) Exhibit 2, Sheet 4d, as of 12/31/18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G35" t="s">
        <v>351</v>
      </c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69"/>
  <sheetViews>
    <sheetView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3" width="15.33203125" style="11" customWidth="1"/>
    <col min="4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12/31/18</v>
      </c>
      <c r="B4" s="12"/>
      <c r="K4" s="2"/>
    </row>
    <row r="5" spans="1:12" x14ac:dyDescent="0.2">
      <c r="A5" t="s">
        <v>32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219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61</v>
      </c>
      <c r="K9" s="2"/>
      <c r="L9" s="27"/>
    </row>
    <row r="10" spans="1:12" x14ac:dyDescent="0.2">
      <c r="A10" t="s">
        <v>54</v>
      </c>
      <c r="C10"/>
      <c r="K10" s="2"/>
    </row>
    <row r="11" spans="1:12" x14ac:dyDescent="0.2">
      <c r="A11" s="9" t="s">
        <v>55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C13"/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3'!$X24,0)</f>
        <v>3455233</v>
      </c>
      <c r="D14" s="84">
        <f>ROUND('[2]TICO 3'!$S24,0)</f>
        <v>0</v>
      </c>
      <c r="E14" s="31">
        <f t="shared" ref="E14:E23" si="1">C14+D14</f>
        <v>3455233</v>
      </c>
      <c r="K14" s="2"/>
    </row>
    <row r="15" spans="1:12" x14ac:dyDescent="0.2">
      <c r="A15" t="str">
        <f t="shared" si="0"/>
        <v>2010</v>
      </c>
      <c r="B15" s="25"/>
      <c r="C15" s="84">
        <f>ROUND('[2]TICO 3'!$X25,0)</f>
        <v>1264721</v>
      </c>
      <c r="D15" s="84">
        <f>ROUND('[2]TICO 3'!$S25,0)</f>
        <v>0</v>
      </c>
      <c r="E15" s="31">
        <f t="shared" si="1"/>
        <v>1264721</v>
      </c>
      <c r="K15" s="2"/>
    </row>
    <row r="16" spans="1:12" x14ac:dyDescent="0.2">
      <c r="A16" t="str">
        <f t="shared" si="0"/>
        <v>2011</v>
      </c>
      <c r="B16" s="25"/>
      <c r="C16" s="84">
        <f>ROUND('[2]TICO 3'!$X26,0)</f>
        <v>1277401</v>
      </c>
      <c r="D16" s="84">
        <f>ROUND('[2]TICO 3'!$S26,0)</f>
        <v>0</v>
      </c>
      <c r="E16" s="31">
        <f t="shared" si="1"/>
        <v>1277401</v>
      </c>
      <c r="K16" s="2"/>
    </row>
    <row r="17" spans="1:13" x14ac:dyDescent="0.2">
      <c r="A17" t="str">
        <f t="shared" si="0"/>
        <v>2012</v>
      </c>
      <c r="B17" s="25"/>
      <c r="C17" s="84">
        <f>ROUND('[2]TICO 3'!$X27,0)</f>
        <v>10634874</v>
      </c>
      <c r="D17" s="84">
        <f>ROUND('[2]TICO 3'!$S27,0)</f>
        <v>0</v>
      </c>
      <c r="E17" s="31">
        <f t="shared" si="1"/>
        <v>10634874</v>
      </c>
      <c r="K17" s="2"/>
    </row>
    <row r="18" spans="1:13" x14ac:dyDescent="0.2">
      <c r="A18" t="str">
        <f t="shared" si="0"/>
        <v>2013</v>
      </c>
      <c r="B18" s="25"/>
      <c r="C18" s="84">
        <f>ROUND('[2]TICO 3'!$X28,0)</f>
        <v>54058418</v>
      </c>
      <c r="D18" s="84">
        <f>ROUND('[2]TICO 3'!$S28,0)</f>
        <v>0</v>
      </c>
      <c r="E18" s="31">
        <f t="shared" si="1"/>
        <v>54058418</v>
      </c>
      <c r="K18" s="2"/>
    </row>
    <row r="19" spans="1:13" x14ac:dyDescent="0.2">
      <c r="A19" t="str">
        <f t="shared" si="0"/>
        <v>2014</v>
      </c>
      <c r="B19" s="25"/>
      <c r="C19" s="84">
        <f>ROUND('[2]TICO 3'!$X29,0)</f>
        <v>520624</v>
      </c>
      <c r="D19" s="84">
        <f>ROUND('[2]TICO 3'!$S29,0)</f>
        <v>0</v>
      </c>
      <c r="E19" s="31">
        <f t="shared" si="1"/>
        <v>520624</v>
      </c>
      <c r="K19" s="2"/>
    </row>
    <row r="20" spans="1:13" x14ac:dyDescent="0.2">
      <c r="A20" t="str">
        <f t="shared" si="0"/>
        <v>2015</v>
      </c>
      <c r="B20" s="25"/>
      <c r="C20" s="84">
        <f>ROUND('[2]TICO 3'!$X30,0)</f>
        <v>17432597</v>
      </c>
      <c r="D20" s="84">
        <f>ROUND('[2]TICO 3'!$S30,0)</f>
        <v>0</v>
      </c>
      <c r="E20" s="31">
        <f t="shared" si="1"/>
        <v>17432597</v>
      </c>
      <c r="K20" s="2"/>
    </row>
    <row r="21" spans="1:13" x14ac:dyDescent="0.2">
      <c r="A21" t="str">
        <f t="shared" si="0"/>
        <v>2016</v>
      </c>
      <c r="B21" s="25"/>
      <c r="C21" s="84">
        <f>ROUND('[2]TICO 3'!$X31,0)</f>
        <v>10964824</v>
      </c>
      <c r="D21" s="84">
        <f>ROUND('[2]TICO 3'!$S31,0)</f>
        <v>0</v>
      </c>
      <c r="E21" s="31">
        <f t="shared" si="1"/>
        <v>10964824</v>
      </c>
      <c r="K21" s="2"/>
      <c r="L21" t="s">
        <v>220</v>
      </c>
      <c r="M21" t="s">
        <v>221</v>
      </c>
    </row>
    <row r="22" spans="1:13" x14ac:dyDescent="0.2">
      <c r="A22" s="50" t="str">
        <f t="shared" si="0"/>
        <v>2017</v>
      </c>
      <c r="B22" s="25"/>
      <c r="C22" s="84">
        <f>ROUND('[2]TICO 3'!$X32,0)</f>
        <v>2530528</v>
      </c>
      <c r="D22" s="84">
        <f>ROUND('[2]TICO 3'!$S32,0)</f>
        <v>32992606</v>
      </c>
      <c r="E22" s="31">
        <f t="shared" si="1"/>
        <v>35523134</v>
      </c>
      <c r="K22" s="2"/>
      <c r="L22" s="86">
        <f>'[2]TICO 3'!$E$1</f>
        <v>43373</v>
      </c>
      <c r="M22" s="86">
        <f>'[2]TICO 3'!$E$2</f>
        <v>43465</v>
      </c>
    </row>
    <row r="23" spans="1:13" x14ac:dyDescent="0.2">
      <c r="A23" s="50" t="str">
        <f>TEXT(YEAR($L$22),"#")</f>
        <v>2018</v>
      </c>
      <c r="B23" s="25"/>
      <c r="C23" s="84">
        <f>ROUND('[2]TICO 3'!$X33,0)</f>
        <v>2051189</v>
      </c>
      <c r="D23" s="84">
        <f>ROUND('[2]TICO 3'!$S33,0)</f>
        <v>0</v>
      </c>
      <c r="E23" s="31">
        <f t="shared" si="1"/>
        <v>2051189</v>
      </c>
      <c r="K23" s="2"/>
      <c r="L23" s="86"/>
      <c r="M23" s="86"/>
    </row>
    <row r="24" spans="1:13" x14ac:dyDescent="0.2">
      <c r="A24" s="9"/>
      <c r="B24" s="26"/>
      <c r="C24" s="70"/>
      <c r="D24" s="70"/>
      <c r="E24" s="32"/>
      <c r="K24" s="2"/>
    </row>
    <row r="25" spans="1:13" x14ac:dyDescent="0.2">
      <c r="C25"/>
      <c r="K25" s="2"/>
    </row>
    <row r="26" spans="1:13" x14ac:dyDescent="0.2">
      <c r="A26" t="s">
        <v>9</v>
      </c>
      <c r="C26" s="19">
        <f>SUM(C14:C24)</f>
        <v>104190409</v>
      </c>
      <c r="D26" s="19">
        <f>SUM(D14:D24)</f>
        <v>32992606</v>
      </c>
      <c r="E26" s="19">
        <f>SUM(E14:E24)</f>
        <v>137183015</v>
      </c>
      <c r="K26" s="2"/>
    </row>
    <row r="27" spans="1:13" ht="12" thickBot="1" x14ac:dyDescent="0.25">
      <c r="A27" s="6"/>
      <c r="B27" s="6"/>
      <c r="C27" s="219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C12&amp;","&amp;D12&amp;" Provided by TDI.  Accident years ending "&amp;TEXT($L$22,"m/d/xx")</f>
        <v>(2),(3)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B32" s="22"/>
      <c r="K32" s="2"/>
    </row>
    <row r="33" spans="1:11" x14ac:dyDescent="0.2">
      <c r="B33" s="22"/>
      <c r="K33" s="2"/>
    </row>
    <row r="34" spans="1:11" x14ac:dyDescent="0.2">
      <c r="K34" s="2"/>
    </row>
    <row r="35" spans="1:11" x14ac:dyDescent="0.2">
      <c r="A35" s="62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220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M69"/>
  <sheetViews>
    <sheetView zoomScaleNormal="100" workbookViewId="0">
      <selection activeCell="H18" sqref="H18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63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12/31/18</v>
      </c>
      <c r="B4" s="12"/>
      <c r="K4" s="2"/>
    </row>
    <row r="5" spans="1:12" x14ac:dyDescent="0.2">
      <c r="A5" t="s">
        <v>46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61</v>
      </c>
      <c r="K9" s="2"/>
      <c r="L9" s="27"/>
    </row>
    <row r="10" spans="1:12" x14ac:dyDescent="0.2">
      <c r="A10" t="s">
        <v>54</v>
      </c>
      <c r="K10" s="2"/>
    </row>
    <row r="11" spans="1:12" x14ac:dyDescent="0.2">
      <c r="A11" s="9" t="s">
        <v>55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C13" s="62"/>
      <c r="D13" s="62"/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3'!$Y24,0)</f>
        <v>536746</v>
      </c>
      <c r="D14" s="84">
        <f>ROUND('[2]TICO 3'!$T24,0)</f>
        <v>0</v>
      </c>
      <c r="E14" s="31">
        <f t="shared" ref="E14:E23" si="1">C14+D14</f>
        <v>536746</v>
      </c>
      <c r="K14" s="2"/>
    </row>
    <row r="15" spans="1:12" x14ac:dyDescent="0.2">
      <c r="A15" t="str">
        <f t="shared" si="0"/>
        <v>2010</v>
      </c>
      <c r="B15" s="25"/>
      <c r="C15" s="84">
        <f>ROUND('[2]TICO 3'!$Y25,0)</f>
        <v>3445556</v>
      </c>
      <c r="D15" s="84">
        <f>ROUND('[2]TICO 3'!$T25,0)</f>
        <v>187854</v>
      </c>
      <c r="E15" s="31">
        <f t="shared" si="1"/>
        <v>3633410</v>
      </c>
      <c r="K15" s="2"/>
    </row>
    <row r="16" spans="1:12" x14ac:dyDescent="0.2">
      <c r="A16" t="str">
        <f t="shared" si="0"/>
        <v>2011</v>
      </c>
      <c r="B16" s="25"/>
      <c r="C16" s="84">
        <f>ROUND('[2]TICO 3'!$Y26,0)</f>
        <v>19199535</v>
      </c>
      <c r="D16" s="84">
        <f>ROUND('[2]TICO 3'!$T26,0)</f>
        <v>0</v>
      </c>
      <c r="E16" s="31">
        <f t="shared" si="1"/>
        <v>19199535</v>
      </c>
      <c r="K16" s="2"/>
    </row>
    <row r="17" spans="1:13" x14ac:dyDescent="0.2">
      <c r="A17" t="str">
        <f t="shared" si="0"/>
        <v>2012</v>
      </c>
      <c r="B17" s="25"/>
      <c r="C17" s="84">
        <f>ROUND('[2]TICO 3'!$Y27,0)</f>
        <v>20626638</v>
      </c>
      <c r="D17" s="84">
        <f>ROUND('[2]TICO 3'!$T27,0)</f>
        <v>0</v>
      </c>
      <c r="E17" s="31">
        <f t="shared" si="1"/>
        <v>20626638</v>
      </c>
      <c r="K17" s="2"/>
    </row>
    <row r="18" spans="1:13" x14ac:dyDescent="0.2">
      <c r="A18" t="str">
        <f t="shared" si="0"/>
        <v>2013</v>
      </c>
      <c r="B18" s="25"/>
      <c r="C18" s="84">
        <f>ROUND('[2]TICO 3'!$Y28,0)</f>
        <v>6175709</v>
      </c>
      <c r="D18" s="84">
        <f>ROUND('[2]TICO 3'!$T28,0)</f>
        <v>0</v>
      </c>
      <c r="E18" s="31">
        <f t="shared" si="1"/>
        <v>6175709</v>
      </c>
      <c r="K18" s="2"/>
    </row>
    <row r="19" spans="1:13" x14ac:dyDescent="0.2">
      <c r="A19" t="str">
        <f t="shared" si="0"/>
        <v>2014</v>
      </c>
      <c r="B19" s="25"/>
      <c r="C19" s="84">
        <f>ROUND('[2]TICO 3'!$Y29,0)</f>
        <v>1617725</v>
      </c>
      <c r="D19" s="84">
        <f>ROUND('[2]TICO 3'!$T29,0)</f>
        <v>0</v>
      </c>
      <c r="E19" s="31">
        <f t="shared" si="1"/>
        <v>1617725</v>
      </c>
      <c r="K19" s="2"/>
    </row>
    <row r="20" spans="1:13" x14ac:dyDescent="0.2">
      <c r="A20" t="str">
        <f t="shared" si="0"/>
        <v>2015</v>
      </c>
      <c r="B20" s="25"/>
      <c r="C20" s="84">
        <f>ROUND('[2]TICO 3'!$Y30,0)</f>
        <v>9404508</v>
      </c>
      <c r="D20" s="84">
        <f>ROUND('[2]TICO 3'!$T30,0)</f>
        <v>0</v>
      </c>
      <c r="E20" s="31">
        <f t="shared" si="1"/>
        <v>9404508</v>
      </c>
      <c r="K20" s="2"/>
    </row>
    <row r="21" spans="1:13" x14ac:dyDescent="0.2">
      <c r="A21" t="str">
        <f t="shared" si="0"/>
        <v>2016</v>
      </c>
      <c r="B21" s="25"/>
      <c r="C21" s="84">
        <f>ROUND('[2]TICO 3'!$Y31,0)</f>
        <v>9521301</v>
      </c>
      <c r="D21" s="84">
        <f>ROUND('[2]TICO 3'!$T31,0)</f>
        <v>0</v>
      </c>
      <c r="E21" s="31">
        <f t="shared" si="1"/>
        <v>9521301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84">
        <f>ROUND('[2]TICO 3'!$Y32,0)</f>
        <v>7579676</v>
      </c>
      <c r="D22" s="84">
        <f>ROUND('[2]TICO 3'!$T32,0)</f>
        <v>226922149</v>
      </c>
      <c r="E22" s="128">
        <f t="shared" si="1"/>
        <v>234501825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84">
        <f>ROUND('[2]TICO 3'!$Y33,0)</f>
        <v>962096</v>
      </c>
      <c r="D23" s="84">
        <f>ROUND('[2]TICO 3'!$T33,0)</f>
        <v>0</v>
      </c>
      <c r="E23" s="128">
        <f t="shared" si="1"/>
        <v>962096</v>
      </c>
      <c r="K23" s="2"/>
      <c r="L23" s="88"/>
      <c r="M23" s="88"/>
    </row>
    <row r="24" spans="1:13" x14ac:dyDescent="0.2">
      <c r="A24" s="9"/>
      <c r="B24" s="26"/>
      <c r="C24" s="70"/>
      <c r="D24" s="7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79069490</v>
      </c>
      <c r="D26" s="19">
        <f>SUM(D14:D24)</f>
        <v>227110003</v>
      </c>
      <c r="E26" s="19">
        <f>SUM(E14:E24)</f>
        <v>306179493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C12&amp;","&amp;D12&amp; "Provided by TDI.  Accident years ending "&amp;TEXT($L$22,"m/d/xx")</f>
        <v>(2),(3)Provided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M69"/>
  <sheetViews>
    <sheetView zoomScaleNormal="100" workbookViewId="0">
      <selection activeCell="C19" sqref="C19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64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tr">
        <f>"Summary of TWIA Historical Paid Loss as of "&amp;TEXT($M$22,"m/d/yy")</f>
        <v>Summary of TWIA Historical Paid Loss as of 12/31/18</v>
      </c>
      <c r="B4" s="12"/>
      <c r="K4" s="2"/>
    </row>
    <row r="5" spans="1:12" x14ac:dyDescent="0.2">
      <c r="A5" t="s">
        <v>48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4" t="s">
        <v>61</v>
      </c>
      <c r="K9" s="2"/>
      <c r="L9" s="27"/>
    </row>
    <row r="10" spans="1:12" x14ac:dyDescent="0.2">
      <c r="A10" t="s">
        <v>54</v>
      </c>
      <c r="K10" s="2"/>
    </row>
    <row r="11" spans="1:12" x14ac:dyDescent="0.2">
      <c r="A11" s="9" t="s">
        <v>55</v>
      </c>
      <c r="B11" s="9"/>
      <c r="C11" s="9" t="s">
        <v>8</v>
      </c>
      <c r="D11" s="9" t="s">
        <v>6</v>
      </c>
      <c r="E11" s="9" t="s">
        <v>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3'!$Z24,0)</f>
        <v>1977943</v>
      </c>
      <c r="D14" s="84">
        <f>ROUND('[2]TICO 3'!$U24,0)</f>
        <v>0</v>
      </c>
      <c r="E14" s="31">
        <f>C14+D14</f>
        <v>1977943</v>
      </c>
      <c r="K14" s="2"/>
    </row>
    <row r="15" spans="1:12" x14ac:dyDescent="0.2">
      <c r="A15" t="str">
        <f t="shared" si="0"/>
        <v>2010</v>
      </c>
      <c r="B15" s="25"/>
      <c r="C15" s="84">
        <f>ROUND('[2]TICO 3'!$Z25,0)</f>
        <v>6663982</v>
      </c>
      <c r="D15" s="84">
        <f>ROUND('[2]TICO 3'!$U25,0)</f>
        <v>1063585</v>
      </c>
      <c r="E15" s="31">
        <f t="shared" ref="E15:E23" si="1">C15+D15</f>
        <v>7727567</v>
      </c>
      <c r="K15" s="2"/>
    </row>
    <row r="16" spans="1:12" x14ac:dyDescent="0.2">
      <c r="A16" t="str">
        <f t="shared" si="0"/>
        <v>2011</v>
      </c>
      <c r="B16" s="25"/>
      <c r="C16" s="84">
        <f>ROUND('[2]TICO 3'!$Z26,0)</f>
        <v>56124736</v>
      </c>
      <c r="D16" s="84">
        <f>ROUND('[2]TICO 3'!$U26,0)</f>
        <v>0</v>
      </c>
      <c r="E16" s="31">
        <f t="shared" si="1"/>
        <v>56124736</v>
      </c>
      <c r="K16" s="2"/>
    </row>
    <row r="17" spans="1:13" x14ac:dyDescent="0.2">
      <c r="A17" t="str">
        <f t="shared" si="0"/>
        <v>2012</v>
      </c>
      <c r="B17" s="25"/>
      <c r="C17" s="84">
        <f>ROUND('[2]TICO 3'!$Z27,0)</f>
        <v>18946421</v>
      </c>
      <c r="D17" s="84">
        <f>ROUND('[2]TICO 3'!$U27,0)</f>
        <v>0</v>
      </c>
      <c r="E17" s="31">
        <f t="shared" si="1"/>
        <v>18946421</v>
      </c>
      <c r="K17" s="2"/>
    </row>
    <row r="18" spans="1:13" x14ac:dyDescent="0.2">
      <c r="A18" t="str">
        <f t="shared" si="0"/>
        <v>2013</v>
      </c>
      <c r="B18" s="25"/>
      <c r="C18" s="84">
        <f>ROUND('[2]TICO 3'!$Z28,0)</f>
        <v>4828213</v>
      </c>
      <c r="D18" s="84">
        <f>ROUND('[2]TICO 3'!$U28,0)</f>
        <v>0</v>
      </c>
      <c r="E18" s="31">
        <f t="shared" si="1"/>
        <v>4828213</v>
      </c>
      <c r="K18" s="2"/>
    </row>
    <row r="19" spans="1:13" x14ac:dyDescent="0.2">
      <c r="A19" t="str">
        <f t="shared" si="0"/>
        <v>2014</v>
      </c>
      <c r="B19" s="25"/>
      <c r="C19" s="84">
        <f>ROUND('[2]TICO 3'!$Z29,0)</f>
        <v>2844586</v>
      </c>
      <c r="D19" s="84">
        <f>ROUND('[2]TICO 3'!$U29,0)</f>
        <v>0</v>
      </c>
      <c r="E19" s="31">
        <f t="shared" si="1"/>
        <v>2844586</v>
      </c>
      <c r="K19" s="2"/>
    </row>
    <row r="20" spans="1:13" x14ac:dyDescent="0.2">
      <c r="A20" t="str">
        <f t="shared" si="0"/>
        <v>2015</v>
      </c>
      <c r="B20" s="25"/>
      <c r="C20" s="84">
        <f>ROUND('[2]TICO 3'!$Z30,0)</f>
        <v>86349948</v>
      </c>
      <c r="D20" s="84">
        <f>ROUND('[2]TICO 3'!$U30,0)</f>
        <v>0</v>
      </c>
      <c r="E20" s="31">
        <f t="shared" si="1"/>
        <v>86349948</v>
      </c>
      <c r="K20" s="2"/>
    </row>
    <row r="21" spans="1:13" x14ac:dyDescent="0.2">
      <c r="A21" t="str">
        <f t="shared" si="0"/>
        <v>2016</v>
      </c>
      <c r="B21" s="25"/>
      <c r="C21" s="84">
        <f>ROUND('[2]TICO 3'!$Z31,0)</f>
        <v>12153391</v>
      </c>
      <c r="D21" s="84">
        <f>ROUND('[2]TICO 3'!$U31,0)</f>
        <v>0</v>
      </c>
      <c r="E21" s="31">
        <f t="shared" si="1"/>
        <v>12153391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84">
        <f>ROUND('[2]TICO 3'!$Z32,0)</f>
        <v>21675933</v>
      </c>
      <c r="D22" s="84">
        <f>ROUND('[2]TICO 3'!$U32,0)</f>
        <v>576082050</v>
      </c>
      <c r="E22" s="128">
        <f t="shared" si="1"/>
        <v>597757983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84">
        <f>ROUND('[2]TICO 3'!$Z33,0)</f>
        <v>5739613</v>
      </c>
      <c r="D23" s="84">
        <f>ROUND('[2]TICO 3'!$U33,0)</f>
        <v>0</v>
      </c>
      <c r="E23" s="128">
        <f t="shared" si="1"/>
        <v>5739613</v>
      </c>
      <c r="K23" s="2"/>
      <c r="L23" s="88"/>
      <c r="M23" s="88"/>
    </row>
    <row r="24" spans="1:13" x14ac:dyDescent="0.2">
      <c r="A24" s="26"/>
      <c r="B24" s="26"/>
      <c r="C24" s="70"/>
      <c r="D24" s="7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217304766</v>
      </c>
      <c r="D26" s="19">
        <f>SUM(D14:D24)</f>
        <v>577145635</v>
      </c>
      <c r="E26" s="19">
        <f>SUM(E14:E24)</f>
        <v>794450401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B33" s="22"/>
      <c r="K33" s="2"/>
    </row>
    <row r="34" spans="1:11" x14ac:dyDescent="0.2">
      <c r="A34" s="62"/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R69"/>
  <sheetViews>
    <sheetView zoomScaleNormal="100" workbookViewId="0">
      <selection activeCell="K40" sqref="K40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8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8" x14ac:dyDescent="0.2">
      <c r="A2" s="8" t="str">
        <f>'1'!$A$2</f>
        <v>Residential Property - Wind &amp; Hail</v>
      </c>
      <c r="B2" s="12"/>
      <c r="J2" s="7" t="s">
        <v>65</v>
      </c>
      <c r="K2" s="2"/>
    </row>
    <row r="3" spans="1:18" x14ac:dyDescent="0.2">
      <c r="A3" s="8" t="str">
        <f>'1'!$A$3</f>
        <v>Rate Level Review</v>
      </c>
      <c r="B3" s="12"/>
      <c r="K3" s="2"/>
    </row>
    <row r="4" spans="1:18" x14ac:dyDescent="0.2">
      <c r="A4" t="str">
        <f>"Summary of TWIA Historical Paid Loss as of "&amp;TEXT($M$22,"m/d/yy")</f>
        <v>Summary of TWIA Historical Paid Loss as of 12/31/18</v>
      </c>
      <c r="B4" s="12"/>
      <c r="K4" s="2"/>
    </row>
    <row r="5" spans="1:18" x14ac:dyDescent="0.2">
      <c r="A5" t="s">
        <v>354</v>
      </c>
      <c r="B5" s="12"/>
      <c r="K5" s="2"/>
    </row>
    <row r="6" spans="1:18" x14ac:dyDescent="0.2">
      <c r="K6" s="2"/>
    </row>
    <row r="7" spans="1:18" ht="12" thickBot="1" x14ac:dyDescent="0.25">
      <c r="A7" s="6"/>
      <c r="B7" s="6"/>
      <c r="C7" s="6"/>
      <c r="D7" s="6"/>
      <c r="E7" s="6"/>
      <c r="K7" s="2"/>
    </row>
    <row r="8" spans="1:18" ht="12" thickTop="1" x14ac:dyDescent="0.2">
      <c r="K8" s="2"/>
      <c r="Q8" s="19"/>
      <c r="R8" s="19"/>
    </row>
    <row r="9" spans="1:18" x14ac:dyDescent="0.2">
      <c r="C9" s="24" t="s">
        <v>61</v>
      </c>
      <c r="K9" s="2"/>
      <c r="L9" s="27"/>
      <c r="Q9" s="19"/>
      <c r="R9" s="19"/>
    </row>
    <row r="10" spans="1:18" x14ac:dyDescent="0.2">
      <c r="A10" t="s">
        <v>54</v>
      </c>
      <c r="K10" s="2"/>
      <c r="Q10" s="19"/>
      <c r="R10" s="19"/>
    </row>
    <row r="11" spans="1:18" x14ac:dyDescent="0.2">
      <c r="A11" s="9" t="s">
        <v>55</v>
      </c>
      <c r="B11" s="9"/>
      <c r="C11" s="9" t="s">
        <v>8</v>
      </c>
      <c r="D11" s="9" t="s">
        <v>6</v>
      </c>
      <c r="E11" s="9" t="s">
        <v>9</v>
      </c>
      <c r="K11" s="2"/>
      <c r="Q11" s="19"/>
      <c r="R11" s="19"/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8" x14ac:dyDescent="0.2">
      <c r="K13" s="2"/>
    </row>
    <row r="14" spans="1:18" x14ac:dyDescent="0.2">
      <c r="A14" t="str">
        <f t="shared" ref="A14:A22" si="0">TEXT(A15-1,"#")</f>
        <v>2009</v>
      </c>
      <c r="B14" s="25"/>
      <c r="C14" s="84">
        <f>ROUND('[2]TICO 3'!$AA24,0)</f>
        <v>551702</v>
      </c>
      <c r="D14" s="84">
        <f>ROUND('[2]TICO 3'!$V24,0)</f>
        <v>0</v>
      </c>
      <c r="E14" s="31">
        <f>C14+D14</f>
        <v>551702</v>
      </c>
      <c r="F14" s="19"/>
      <c r="K14" s="2"/>
    </row>
    <row r="15" spans="1:18" x14ac:dyDescent="0.2">
      <c r="A15" t="str">
        <f t="shared" si="0"/>
        <v>2010</v>
      </c>
      <c r="B15" s="25"/>
      <c r="C15" s="84">
        <f>ROUND('[2]TICO 3'!$AA25,0)</f>
        <v>182872</v>
      </c>
      <c r="D15" s="84">
        <f>ROUND('[2]TICO 3'!$V25,0)</f>
        <v>0</v>
      </c>
      <c r="E15" s="31">
        <f t="shared" ref="E15:E22" si="1">C15+D15</f>
        <v>182872</v>
      </c>
      <c r="F15" s="19"/>
      <c r="K15" s="2"/>
    </row>
    <row r="16" spans="1:18" x14ac:dyDescent="0.2">
      <c r="A16" t="str">
        <f t="shared" si="0"/>
        <v>2011</v>
      </c>
      <c r="B16" s="25"/>
      <c r="C16" s="84">
        <f>ROUND('[2]TICO 3'!$AA26,0)</f>
        <v>54382</v>
      </c>
      <c r="D16" s="84">
        <f>ROUND('[2]TICO 3'!$V26,0)</f>
        <v>0</v>
      </c>
      <c r="E16" s="31">
        <f t="shared" si="1"/>
        <v>54382</v>
      </c>
      <c r="F16" s="19"/>
      <c r="K16" s="2"/>
    </row>
    <row r="17" spans="1:13" x14ac:dyDescent="0.2">
      <c r="A17" t="str">
        <f t="shared" si="0"/>
        <v>2012</v>
      </c>
      <c r="B17" s="25"/>
      <c r="C17" s="84">
        <f>ROUND('[2]TICO 3'!$AA27,0)</f>
        <v>259290</v>
      </c>
      <c r="D17" s="84">
        <f>ROUND('[2]TICO 3'!$V27,0)</f>
        <v>0</v>
      </c>
      <c r="E17" s="31">
        <f t="shared" si="1"/>
        <v>259290</v>
      </c>
      <c r="F17" s="19"/>
      <c r="K17" s="2"/>
    </row>
    <row r="18" spans="1:13" x14ac:dyDescent="0.2">
      <c r="A18" t="str">
        <f t="shared" si="0"/>
        <v>2013</v>
      </c>
      <c r="B18" s="25"/>
      <c r="C18" s="84">
        <f>ROUND('[2]TICO 3'!$AA28,0)</f>
        <v>502759</v>
      </c>
      <c r="D18" s="84">
        <f>ROUND('[2]TICO 3'!$V28,0)</f>
        <v>0</v>
      </c>
      <c r="E18" s="31">
        <f t="shared" si="1"/>
        <v>502759</v>
      </c>
      <c r="F18" s="19"/>
      <c r="K18" s="2"/>
    </row>
    <row r="19" spans="1:13" x14ac:dyDescent="0.2">
      <c r="A19" t="str">
        <f t="shared" si="0"/>
        <v>2014</v>
      </c>
      <c r="B19" s="25"/>
      <c r="C19" s="84">
        <f>ROUND('[2]TICO 3'!$AA29,0)</f>
        <v>30748</v>
      </c>
      <c r="D19" s="84">
        <f>ROUND('[2]TICO 3'!$V29,0)</f>
        <v>0</v>
      </c>
      <c r="E19" s="31">
        <f t="shared" si="1"/>
        <v>30748</v>
      </c>
      <c r="F19" s="19"/>
      <c r="K19" s="2"/>
    </row>
    <row r="20" spans="1:13" x14ac:dyDescent="0.2">
      <c r="A20" t="str">
        <f t="shared" si="0"/>
        <v>2015</v>
      </c>
      <c r="B20" s="25"/>
      <c r="C20" s="84">
        <f>ROUND('[2]TICO 3'!$AA30,0)</f>
        <v>322838</v>
      </c>
      <c r="D20" s="84">
        <f>ROUND('[2]TICO 3'!$V30,0)</f>
        <v>0</v>
      </c>
      <c r="E20" s="31">
        <f t="shared" si="1"/>
        <v>322838</v>
      </c>
      <c r="F20" s="19"/>
      <c r="K20" s="2"/>
    </row>
    <row r="21" spans="1:13" x14ac:dyDescent="0.2">
      <c r="A21" t="str">
        <f t="shared" si="0"/>
        <v>2016</v>
      </c>
      <c r="B21" s="25"/>
      <c r="C21" s="84">
        <f>ROUND('[2]TICO 3'!$AA31,0)</f>
        <v>446449</v>
      </c>
      <c r="D21" s="84">
        <f>ROUND('[2]TICO 3'!$V31,0)</f>
        <v>0</v>
      </c>
      <c r="E21" s="31">
        <f t="shared" si="1"/>
        <v>446449</v>
      </c>
      <c r="F21" s="19"/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25"/>
      <c r="C22" s="84">
        <f>ROUND('[2]TICO 3'!$AA32,0)</f>
        <v>481121</v>
      </c>
      <c r="D22" s="84">
        <f>ROUND('[2]TICO 3'!$V32,0)</f>
        <v>3162101</v>
      </c>
      <c r="E22" s="31">
        <f t="shared" si="1"/>
        <v>3643222</v>
      </c>
      <c r="F22" s="19"/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25"/>
      <c r="C23" s="84">
        <f>ROUND('[2]TICO 3'!$AA33,0)</f>
        <v>239529</v>
      </c>
      <c r="D23" s="84">
        <f>ROUND('[2]TICO 3'!$V33,0)</f>
        <v>0</v>
      </c>
      <c r="E23" s="31">
        <f>C23+D23</f>
        <v>239529</v>
      </c>
      <c r="F23" s="19"/>
      <c r="K23" s="2"/>
      <c r="L23" s="88"/>
      <c r="M23" s="88"/>
    </row>
    <row r="24" spans="1:13" x14ac:dyDescent="0.2">
      <c r="A24" s="26"/>
      <c r="B24" s="26"/>
      <c r="C24" s="70"/>
      <c r="D24" s="70"/>
      <c r="E24" s="32"/>
      <c r="F24" s="19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3071690</v>
      </c>
      <c r="D26" s="19">
        <f>SUM(D14:D24)</f>
        <v>3162101</v>
      </c>
      <c r="E26" s="19">
        <f>SUM(E14:E24)</f>
        <v>6233791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A33" s="62"/>
      <c r="B33" s="22"/>
      <c r="K33" s="2"/>
    </row>
    <row r="34" spans="1:11" x14ac:dyDescent="0.2"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4"/>
  <sheetViews>
    <sheetView topLeftCell="E8" zoomScaleNormal="100" workbookViewId="0">
      <selection activeCell="V52" sqref="V52"/>
    </sheetView>
  </sheetViews>
  <sheetFormatPr defaultColWidth="11.33203125" defaultRowHeight="11.25" x14ac:dyDescent="0.2"/>
  <cols>
    <col min="1" max="1" width="5.1640625" style="136" bestFit="1" customWidth="1"/>
    <col min="2" max="2" width="10.6640625" style="136" customWidth="1"/>
    <col min="3" max="4" width="11.33203125" style="136" customWidth="1"/>
    <col min="5" max="5" width="12.1640625" style="136" customWidth="1"/>
    <col min="6" max="11" width="11.33203125" style="136" customWidth="1"/>
    <col min="12" max="12" width="2.5" style="136" customWidth="1"/>
    <col min="13" max="16384" width="11.33203125" style="136"/>
  </cols>
  <sheetData>
    <row r="1" spans="1:17" x14ac:dyDescent="0.2">
      <c r="A1" s="8" t="str">
        <f>'1'!$A$1</f>
        <v>Texas Windstorm Insurance Association</v>
      </c>
      <c r="B1" s="132"/>
      <c r="C1" s="133"/>
      <c r="D1" s="133"/>
      <c r="E1" s="133"/>
      <c r="F1" s="133"/>
      <c r="G1" s="133"/>
      <c r="H1" s="133"/>
      <c r="I1" s="133"/>
      <c r="J1" s="133"/>
      <c r="K1" s="133"/>
      <c r="L1" s="7" t="s">
        <v>21</v>
      </c>
      <c r="M1" s="135"/>
    </row>
    <row r="2" spans="1:17" x14ac:dyDescent="0.2">
      <c r="A2" s="8" t="str">
        <f>'1'!$A$2</f>
        <v>Residential Property - Wind &amp; Hail</v>
      </c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7" t="s">
        <v>95</v>
      </c>
      <c r="M2" s="137"/>
    </row>
    <row r="3" spans="1:17" x14ac:dyDescent="0.2">
      <c r="A3" s="8" t="str">
        <f>'1'!$A$3</f>
        <v>Rate Level Review</v>
      </c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4"/>
      <c r="M3" s="137"/>
    </row>
    <row r="4" spans="1:17" x14ac:dyDescent="0.2">
      <c r="A4" s="133" t="s">
        <v>272</v>
      </c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7"/>
    </row>
    <row r="5" spans="1:17" x14ac:dyDescent="0.2">
      <c r="A5" s="138"/>
      <c r="B5" s="139"/>
      <c r="C5" s="138"/>
      <c r="D5" s="138"/>
      <c r="E5" s="138"/>
      <c r="F5" s="133"/>
      <c r="G5" s="133"/>
      <c r="H5" s="133"/>
      <c r="I5" s="133"/>
      <c r="J5" s="133"/>
      <c r="K5" s="133"/>
      <c r="L5" s="133"/>
      <c r="M5" s="137"/>
    </row>
    <row r="6" spans="1:17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7"/>
    </row>
    <row r="7" spans="1:17" ht="12" thickBot="1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33"/>
      <c r="K7" s="133"/>
      <c r="L7" s="133"/>
      <c r="M7" s="137"/>
      <c r="N7" t="s">
        <v>218</v>
      </c>
    </row>
    <row r="8" spans="1:17" ht="12" thickTop="1" x14ac:dyDescent="0.2">
      <c r="A8" s="133"/>
      <c r="B8" s="133"/>
      <c r="C8" s="133" t="s">
        <v>72</v>
      </c>
      <c r="D8" s="133"/>
      <c r="E8" s="133"/>
      <c r="F8" s="133"/>
      <c r="G8" s="133"/>
      <c r="H8" s="133"/>
      <c r="I8" s="133"/>
      <c r="J8" s="133"/>
      <c r="K8" s="133"/>
      <c r="L8" s="133"/>
      <c r="M8" s="137"/>
      <c r="N8" s="99">
        <v>43465</v>
      </c>
    </row>
    <row r="9" spans="1:17" x14ac:dyDescent="0.2">
      <c r="A9" s="133"/>
      <c r="B9" s="133"/>
      <c r="C9" s="142" t="s">
        <v>349</v>
      </c>
      <c r="D9" s="133"/>
      <c r="E9" s="133"/>
      <c r="F9" s="133"/>
      <c r="G9" s="133"/>
      <c r="H9" s="133"/>
      <c r="I9" s="133"/>
      <c r="J9" s="133"/>
      <c r="K9" s="133"/>
      <c r="L9" s="133"/>
      <c r="M9" s="137"/>
      <c r="N9"/>
    </row>
    <row r="10" spans="1:17" x14ac:dyDescent="0.2">
      <c r="A10" s="133" t="s">
        <v>236</v>
      </c>
      <c r="B10" s="133"/>
      <c r="C10" s="136" t="s">
        <v>370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7"/>
      <c r="N10"/>
    </row>
    <row r="11" spans="1:17" x14ac:dyDescent="0.2">
      <c r="A11" s="141" t="s">
        <v>238</v>
      </c>
      <c r="B11" s="141"/>
      <c r="C11" s="300" t="s">
        <v>350</v>
      </c>
      <c r="D11" s="142"/>
      <c r="E11" s="142"/>
      <c r="F11" s="142"/>
      <c r="G11" s="142"/>
      <c r="H11" s="133"/>
      <c r="I11" s="133"/>
      <c r="J11" s="133"/>
      <c r="K11" s="133"/>
      <c r="L11" s="133"/>
      <c r="M11" s="137"/>
      <c r="N11"/>
    </row>
    <row r="12" spans="1:17" ht="12" thickBot="1" x14ac:dyDescent="0.25">
      <c r="A12" s="143" t="s">
        <v>192</v>
      </c>
      <c r="B12" s="144"/>
      <c r="C12" s="145" t="s">
        <v>193</v>
      </c>
      <c r="J12" s="133"/>
      <c r="K12" s="133"/>
      <c r="L12" s="133"/>
      <c r="M12" s="137"/>
    </row>
    <row r="13" spans="1:17" x14ac:dyDescent="0.2">
      <c r="A13" s="133"/>
      <c r="B13" s="133"/>
      <c r="C13" s="243"/>
      <c r="D13" s="147" t="s">
        <v>194</v>
      </c>
      <c r="E13" s="133" t="s">
        <v>273</v>
      </c>
      <c r="F13" s="133"/>
      <c r="G13" s="133"/>
      <c r="H13" s="133"/>
      <c r="I13" s="265">
        <v>43282</v>
      </c>
      <c r="J13" s="133"/>
      <c r="K13" s="133"/>
      <c r="L13" s="133"/>
      <c r="M13" s="137"/>
      <c r="N13" s="312" t="s">
        <v>362</v>
      </c>
      <c r="O13" s="313"/>
      <c r="P13" s="313"/>
      <c r="Q13" s="314"/>
    </row>
    <row r="14" spans="1:17" x14ac:dyDescent="0.2">
      <c r="A14" s="133" t="s">
        <v>328</v>
      </c>
      <c r="B14" s="133"/>
      <c r="C14" s="302">
        <f>'3.2 premium trend'!G19</f>
        <v>1615.070522640191</v>
      </c>
      <c r="D14" s="147" t="s">
        <v>144</v>
      </c>
      <c r="E14" s="133" t="s">
        <v>274</v>
      </c>
      <c r="I14" s="266">
        <v>43282</v>
      </c>
      <c r="J14" s="133"/>
      <c r="K14" s="133"/>
      <c r="L14" s="133"/>
      <c r="M14" s="137"/>
      <c r="N14" s="315"/>
      <c r="O14" s="316"/>
      <c r="P14" s="316"/>
      <c r="Q14" s="317"/>
    </row>
    <row r="15" spans="1:17" x14ac:dyDescent="0.2">
      <c r="A15" s="136" t="s">
        <v>334</v>
      </c>
      <c r="B15" s="146"/>
      <c r="C15" s="303">
        <f>ROUND('3.2 premium trend'!$G$23,2)</f>
        <v>1611.18</v>
      </c>
      <c r="D15" s="147" t="s">
        <v>123</v>
      </c>
      <c r="E15" s="133" t="s">
        <v>275</v>
      </c>
      <c r="F15" s="133"/>
      <c r="G15" s="133"/>
      <c r="H15" s="133"/>
      <c r="I15" s="267">
        <v>44197</v>
      </c>
      <c r="J15" s="133"/>
      <c r="K15" s="133"/>
      <c r="L15" s="133"/>
      <c r="M15" s="137"/>
      <c r="N15" s="315"/>
      <c r="O15" s="316"/>
      <c r="P15" s="316"/>
      <c r="Q15" s="317"/>
    </row>
    <row r="16" spans="1:17" x14ac:dyDescent="0.2">
      <c r="A16" s="136" t="s">
        <v>333</v>
      </c>
      <c r="B16" s="146"/>
      <c r="C16" s="303">
        <f>ROUND('3.2 premium trend'!$G$27,2)</f>
        <v>1600.24</v>
      </c>
      <c r="D16" s="147" t="s">
        <v>127</v>
      </c>
      <c r="E16" s="133" t="s">
        <v>276</v>
      </c>
      <c r="F16" s="133"/>
      <c r="G16" s="133"/>
      <c r="H16" s="133"/>
      <c r="I16" s="148">
        <f>YEAR(I15)-YEAR(I13+1)+(MONTH(I15)-MONTH(I13+1))/12</f>
        <v>2.5</v>
      </c>
      <c r="J16" s="133"/>
      <c r="K16" s="133"/>
      <c r="L16" s="133"/>
      <c r="M16" s="137"/>
      <c r="N16" s="315"/>
      <c r="O16" s="316"/>
      <c r="P16" s="316"/>
      <c r="Q16" s="317"/>
    </row>
    <row r="17" spans="1:17" x14ac:dyDescent="0.2">
      <c r="A17" s="136" t="s">
        <v>338</v>
      </c>
      <c r="B17" s="146"/>
      <c r="C17" s="303">
        <f>ROUND('3.2 premium trend'!$G$31,2)</f>
        <v>1631.23</v>
      </c>
      <c r="D17" s="147" t="s">
        <v>126</v>
      </c>
      <c r="E17" s="136" t="s">
        <v>277</v>
      </c>
      <c r="I17" s="148">
        <f>YEAR(I15)-YEAR(I14+1)+(MONTH(I15)-MONTH(I14+1))/12</f>
        <v>2.5</v>
      </c>
      <c r="J17" s="133"/>
      <c r="K17" s="133"/>
      <c r="L17" s="133"/>
      <c r="M17" s="137"/>
      <c r="N17" s="315"/>
      <c r="O17" s="316"/>
      <c r="P17" s="316"/>
      <c r="Q17" s="317"/>
    </row>
    <row r="18" spans="1:17" ht="12" thickBot="1" x14ac:dyDescent="0.25">
      <c r="A18" s="136" t="s">
        <v>341</v>
      </c>
      <c r="B18" s="146"/>
      <c r="C18" s="303">
        <f>ROUND('3.2 premium trend'!$G$35,2)</f>
        <v>1649.95</v>
      </c>
      <c r="D18" s="147" t="s">
        <v>125</v>
      </c>
      <c r="E18" s="133" t="s">
        <v>226</v>
      </c>
      <c r="F18" s="133"/>
      <c r="G18" s="133"/>
      <c r="H18" s="133"/>
      <c r="I18" s="156">
        <f>'3.2 premium trend'!$L$58</f>
        <v>-3.1092464509378342E-4</v>
      </c>
      <c r="J18" s="133"/>
      <c r="K18" s="133"/>
      <c r="L18" s="133"/>
      <c r="M18" s="137"/>
      <c r="N18" s="318"/>
      <c r="O18" s="319"/>
      <c r="P18" s="319"/>
      <c r="Q18" s="320"/>
    </row>
    <row r="19" spans="1:17" x14ac:dyDescent="0.2">
      <c r="A19" s="136" t="s">
        <v>342</v>
      </c>
      <c r="B19" s="146"/>
      <c r="C19" s="303">
        <f>ROUND('3.2 premium trend'!$G$39,2)</f>
        <v>1664.45</v>
      </c>
      <c r="D19" s="147" t="s">
        <v>124</v>
      </c>
      <c r="E19" s="133" t="s">
        <v>289</v>
      </c>
      <c r="F19" s="133"/>
      <c r="G19" s="133"/>
      <c r="H19" s="133"/>
      <c r="I19" s="156">
        <f>'3.3a'!F28</f>
        <v>1.2999999999999999E-2</v>
      </c>
      <c r="J19" s="133"/>
      <c r="K19" s="133"/>
      <c r="L19" s="133"/>
      <c r="M19" s="137"/>
    </row>
    <row r="20" spans="1:17" x14ac:dyDescent="0.2">
      <c r="A20" s="136" t="s">
        <v>343</v>
      </c>
      <c r="C20" s="303">
        <f>ROUND('3.2 premium trend'!$G$43,2)</f>
        <v>1667.78</v>
      </c>
      <c r="J20" s="133"/>
      <c r="K20" s="133"/>
      <c r="L20" s="133"/>
      <c r="M20" s="137"/>
    </row>
    <row r="21" spans="1:17" x14ac:dyDescent="0.2">
      <c r="A21" s="136" t="s">
        <v>348</v>
      </c>
      <c r="C21" s="303">
        <f>ROUND('3.2 premium trend'!$G$47,2)</f>
        <v>1656.1</v>
      </c>
      <c r="D21" s="147"/>
      <c r="E21" s="133"/>
      <c r="F21" s="149"/>
      <c r="G21" s="149"/>
      <c r="H21" s="133"/>
      <c r="I21" s="148"/>
      <c r="J21" s="133"/>
      <c r="K21" s="133"/>
      <c r="L21" s="133"/>
      <c r="M21" s="137"/>
    </row>
    <row r="22" spans="1:17" x14ac:dyDescent="0.2">
      <c r="A22" s="142" t="s">
        <v>356</v>
      </c>
      <c r="C22" s="303">
        <f>ROUND('3.2 premium trend'!$G$51,2)</f>
        <v>1660.23</v>
      </c>
      <c r="J22" s="133"/>
      <c r="K22" s="133"/>
      <c r="L22" s="133"/>
      <c r="M22" s="137"/>
    </row>
    <row r="23" spans="1:17" x14ac:dyDescent="0.2">
      <c r="J23" s="133"/>
      <c r="K23" s="133"/>
      <c r="L23" s="133"/>
      <c r="M23" s="137"/>
    </row>
    <row r="24" spans="1:17" x14ac:dyDescent="0.2">
      <c r="A24" s="133"/>
      <c r="B24" s="146"/>
      <c r="C24" s="150"/>
      <c r="D24" s="151"/>
      <c r="E24" s="151"/>
      <c r="F24" s="151"/>
      <c r="G24" s="151"/>
      <c r="H24" s="133"/>
      <c r="I24" s="133"/>
      <c r="J24" s="133"/>
      <c r="K24" s="133"/>
      <c r="L24" s="133"/>
      <c r="M24" s="137"/>
    </row>
    <row r="25" spans="1:17" x14ac:dyDescent="0.2">
      <c r="A25" s="133"/>
      <c r="B25" s="133"/>
      <c r="C25" s="139" t="s">
        <v>232</v>
      </c>
      <c r="D25" s="139" t="s">
        <v>232</v>
      </c>
      <c r="E25" s="139" t="s">
        <v>233</v>
      </c>
      <c r="F25" s="139" t="s">
        <v>233</v>
      </c>
      <c r="G25" s="139" t="s">
        <v>39</v>
      </c>
      <c r="H25" s="133"/>
      <c r="I25" s="133"/>
      <c r="J25" s="133"/>
      <c r="K25" s="133"/>
      <c r="L25" s="133"/>
      <c r="M25" s="137"/>
    </row>
    <row r="26" spans="1:17" x14ac:dyDescent="0.2">
      <c r="A26" s="133" t="s">
        <v>54</v>
      </c>
      <c r="B26" s="133"/>
      <c r="C26" s="133" t="s">
        <v>130</v>
      </c>
      <c r="D26" s="133" t="s">
        <v>42</v>
      </c>
      <c r="E26" s="133" t="s">
        <v>130</v>
      </c>
      <c r="F26" s="133" t="s">
        <v>42</v>
      </c>
      <c r="G26" s="133" t="s">
        <v>40</v>
      </c>
      <c r="H26" s="133"/>
      <c r="I26" s="133"/>
      <c r="J26" s="133"/>
      <c r="K26" s="133"/>
      <c r="L26" s="133"/>
      <c r="M26" s="137"/>
    </row>
    <row r="27" spans="1:17" x14ac:dyDescent="0.2">
      <c r="A27" s="141" t="s">
        <v>55</v>
      </c>
      <c r="B27" s="141"/>
      <c r="C27" s="141" t="s">
        <v>40</v>
      </c>
      <c r="D27" s="141" t="s">
        <v>40</v>
      </c>
      <c r="E27" s="141" t="s">
        <v>40</v>
      </c>
      <c r="F27" s="141" t="s">
        <v>40</v>
      </c>
      <c r="G27" s="141" t="s">
        <v>38</v>
      </c>
      <c r="H27" s="133"/>
      <c r="I27" s="133"/>
      <c r="J27" s="133"/>
      <c r="K27" s="133"/>
      <c r="L27" s="133"/>
      <c r="M27" s="137"/>
    </row>
    <row r="28" spans="1:17" x14ac:dyDescent="0.2">
      <c r="A28" s="143" t="s">
        <v>116</v>
      </c>
      <c r="B28" s="144"/>
      <c r="C28" s="143" t="s">
        <v>208</v>
      </c>
      <c r="D28" s="143" t="s">
        <v>278</v>
      </c>
      <c r="E28" s="145" t="s">
        <v>279</v>
      </c>
      <c r="F28" s="145" t="s">
        <v>280</v>
      </c>
      <c r="G28" s="145" t="s">
        <v>209</v>
      </c>
      <c r="H28" s="133"/>
      <c r="I28" s="133"/>
      <c r="J28" s="133"/>
      <c r="K28" s="133"/>
      <c r="L28" s="133"/>
      <c r="M28" s="137"/>
    </row>
    <row r="29" spans="1:17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7"/>
    </row>
    <row r="30" spans="1:17" x14ac:dyDescent="0.2">
      <c r="A30" t="str">
        <f t="shared" ref="A30:A38" si="0">TEXT(A31-1,"#")</f>
        <v>2009</v>
      </c>
      <c r="B30" s="146"/>
      <c r="C30" s="198">
        <f>C31</f>
        <v>1.0279613036872135</v>
      </c>
      <c r="D30" s="148">
        <f>'3.3a'!F14</f>
        <v>1.155</v>
      </c>
      <c r="E30" s="148">
        <f>(1+I$18)^I$16</f>
        <v>0.99922286964187501</v>
      </c>
      <c r="F30" s="148">
        <f t="shared" ref="F30:F39" si="1">(1+I$19)^I$17</f>
        <v>1.0328175604511634</v>
      </c>
      <c r="G30" s="148">
        <f>ROUND(PRODUCT(D30,F30)/PRODUCT(C30,E30),3)</f>
        <v>1.161</v>
      </c>
      <c r="H30" s="133"/>
      <c r="I30" s="133"/>
      <c r="J30" s="133"/>
      <c r="K30" s="133"/>
      <c r="L30" s="133"/>
      <c r="M30" s="137"/>
    </row>
    <row r="31" spans="1:17" x14ac:dyDescent="0.2">
      <c r="A31" t="str">
        <f t="shared" si="0"/>
        <v>2010</v>
      </c>
      <c r="B31" s="146"/>
      <c r="C31" s="199">
        <f>C$22/C14</f>
        <v>1.0279613036872135</v>
      </c>
      <c r="D31" s="148">
        <f>'3.3a'!F15</f>
        <v>1.155</v>
      </c>
      <c r="E31" s="148">
        <f t="shared" ref="E31:E39" si="2">(1+I$18)^I$16</f>
        <v>0.99922286964187501</v>
      </c>
      <c r="F31" s="148">
        <f t="shared" si="1"/>
        <v>1.0328175604511634</v>
      </c>
      <c r="G31" s="148">
        <f t="shared" ref="G31:G38" si="3">ROUND(PRODUCT(D31,F31)/PRODUCT(C31,E31),3)</f>
        <v>1.161</v>
      </c>
      <c r="H31" s="133"/>
      <c r="I31" s="133"/>
      <c r="J31" s="133"/>
      <c r="K31" s="133"/>
      <c r="L31" s="133"/>
      <c r="M31" s="137"/>
    </row>
    <row r="32" spans="1:17" x14ac:dyDescent="0.2">
      <c r="A32" t="str">
        <f t="shared" si="0"/>
        <v>2011</v>
      </c>
      <c r="B32" s="133"/>
      <c r="C32" s="199">
        <f t="shared" ref="C32:C38" si="4">C$22/C15</f>
        <v>1.030443525863032</v>
      </c>
      <c r="D32" s="148">
        <f>'3.3a'!F16</f>
        <v>1.149</v>
      </c>
      <c r="E32" s="148">
        <f t="shared" si="2"/>
        <v>0.99922286964187501</v>
      </c>
      <c r="F32" s="148">
        <f t="shared" si="1"/>
        <v>1.0328175604511634</v>
      </c>
      <c r="G32" s="148">
        <f t="shared" si="3"/>
        <v>1.153</v>
      </c>
      <c r="H32" s="133"/>
      <c r="I32" s="133"/>
      <c r="J32" s="133"/>
      <c r="K32" s="133"/>
      <c r="L32" s="133"/>
      <c r="M32" s="137"/>
    </row>
    <row r="33" spans="1:13" x14ac:dyDescent="0.2">
      <c r="A33" t="str">
        <f t="shared" si="0"/>
        <v>2012</v>
      </c>
      <c r="B33" s="133"/>
      <c r="C33" s="199">
        <f t="shared" si="4"/>
        <v>1.0374881267809828</v>
      </c>
      <c r="D33" s="148">
        <f>'3.3a'!F17</f>
        <v>1.1259999999999999</v>
      </c>
      <c r="E33" s="148">
        <f t="shared" si="2"/>
        <v>0.99922286964187501</v>
      </c>
      <c r="F33" s="148">
        <f t="shared" si="1"/>
        <v>1.0328175604511634</v>
      </c>
      <c r="G33" s="148">
        <f t="shared" si="3"/>
        <v>1.1220000000000001</v>
      </c>
      <c r="H33" s="133"/>
      <c r="I33" s="133"/>
      <c r="J33" s="133"/>
      <c r="K33" s="133"/>
      <c r="L33" s="133"/>
      <c r="M33" s="137"/>
    </row>
    <row r="34" spans="1:13" x14ac:dyDescent="0.2">
      <c r="A34" t="str">
        <f t="shared" si="0"/>
        <v>2013</v>
      </c>
      <c r="B34" s="133"/>
      <c r="C34" s="199">
        <f t="shared" si="4"/>
        <v>1.0177779957455417</v>
      </c>
      <c r="D34" s="148">
        <f>'3.3a'!F18</f>
        <v>1.097</v>
      </c>
      <c r="E34" s="148">
        <f t="shared" si="2"/>
        <v>0.99922286964187501</v>
      </c>
      <c r="F34" s="148">
        <f t="shared" si="1"/>
        <v>1.0328175604511634</v>
      </c>
      <c r="G34" s="148">
        <f t="shared" si="3"/>
        <v>1.1140000000000001</v>
      </c>
      <c r="H34" s="133"/>
      <c r="I34" s="133"/>
      <c r="J34" s="133"/>
      <c r="K34" s="133"/>
      <c r="L34" s="133"/>
      <c r="M34" s="137"/>
    </row>
    <row r="35" spans="1:13" x14ac:dyDescent="0.2">
      <c r="A35" t="str">
        <f t="shared" si="0"/>
        <v>2014</v>
      </c>
      <c r="B35" s="133"/>
      <c r="C35" s="199">
        <f t="shared" si="4"/>
        <v>1.0062304918330858</v>
      </c>
      <c r="D35" s="148">
        <f>'3.3a'!F19</f>
        <v>1.0629999999999999</v>
      </c>
      <c r="E35" s="148">
        <f t="shared" si="2"/>
        <v>0.99922286964187501</v>
      </c>
      <c r="F35" s="148">
        <f t="shared" si="1"/>
        <v>1.0328175604511634</v>
      </c>
      <c r="G35" s="148">
        <f t="shared" si="3"/>
        <v>1.0920000000000001</v>
      </c>
      <c r="H35" s="133"/>
      <c r="I35" s="133"/>
      <c r="J35" s="133"/>
      <c r="K35" s="133"/>
      <c r="L35" s="133"/>
      <c r="M35" s="137"/>
    </row>
    <row r="36" spans="1:13" x14ac:dyDescent="0.2">
      <c r="A36" t="str">
        <f t="shared" si="0"/>
        <v>2015</v>
      </c>
      <c r="B36" s="133"/>
      <c r="C36" s="199">
        <f t="shared" si="4"/>
        <v>0.99746462795518043</v>
      </c>
      <c r="D36" s="148">
        <f>'3.3a'!F20</f>
        <v>1.04</v>
      </c>
      <c r="E36" s="148">
        <f t="shared" si="2"/>
        <v>0.99922286964187501</v>
      </c>
      <c r="F36" s="148">
        <f t="shared" si="1"/>
        <v>1.0328175604511634</v>
      </c>
      <c r="G36" s="148">
        <f t="shared" si="3"/>
        <v>1.0780000000000001</v>
      </c>
      <c r="H36" s="133"/>
      <c r="I36" s="133"/>
      <c r="J36" s="133"/>
      <c r="K36" s="133"/>
      <c r="L36" s="133"/>
      <c r="M36" s="137"/>
    </row>
    <row r="37" spans="1:13" x14ac:dyDescent="0.2">
      <c r="A37" t="str">
        <f t="shared" si="0"/>
        <v>2016</v>
      </c>
      <c r="B37" s="133"/>
      <c r="C37" s="199">
        <f t="shared" si="4"/>
        <v>0.99547302401995474</v>
      </c>
      <c r="D37" s="148">
        <f>'3.3a'!F21</f>
        <v>1.0429999999999999</v>
      </c>
      <c r="E37" s="148">
        <f t="shared" si="2"/>
        <v>0.99922286964187501</v>
      </c>
      <c r="F37" s="148">
        <f t="shared" si="1"/>
        <v>1.0328175604511634</v>
      </c>
      <c r="G37" s="148">
        <f>ROUND(PRODUCT(D37,F37)/PRODUCT(C37,E37),3)</f>
        <v>1.083</v>
      </c>
      <c r="H37" s="133"/>
      <c r="I37" s="133"/>
      <c r="J37" s="133"/>
      <c r="K37" s="133"/>
      <c r="L37" s="133"/>
      <c r="M37" s="137"/>
    </row>
    <row r="38" spans="1:13" x14ac:dyDescent="0.2">
      <c r="A38" t="str">
        <f t="shared" si="0"/>
        <v>2017</v>
      </c>
      <c r="B38" s="133"/>
      <c r="C38" s="199">
        <f t="shared" si="4"/>
        <v>1.0024938107602199</v>
      </c>
      <c r="D38" s="148">
        <f>'3.3a'!F22</f>
        <v>1.032</v>
      </c>
      <c r="E38" s="148">
        <f t="shared" si="2"/>
        <v>0.99922286964187501</v>
      </c>
      <c r="F38" s="148">
        <f t="shared" si="1"/>
        <v>1.0328175604511634</v>
      </c>
      <c r="G38" s="148">
        <f t="shared" si="3"/>
        <v>1.0640000000000001</v>
      </c>
      <c r="H38" s="133"/>
      <c r="I38" s="133"/>
      <c r="J38" s="133"/>
      <c r="K38" s="133"/>
      <c r="L38" s="133"/>
      <c r="M38" s="137"/>
    </row>
    <row r="39" spans="1:13" x14ac:dyDescent="0.2">
      <c r="A39" s="50" t="str">
        <f>TEXT(YEAR($N$8),"#")</f>
        <v>2018</v>
      </c>
      <c r="B39" s="133"/>
      <c r="C39" s="199">
        <f>C$22/C22</f>
        <v>1</v>
      </c>
      <c r="D39" s="148">
        <f>'3.3a'!F23</f>
        <v>1</v>
      </c>
      <c r="E39" s="148">
        <f t="shared" si="2"/>
        <v>0.99922286964187501</v>
      </c>
      <c r="F39" s="148">
        <f t="shared" si="1"/>
        <v>1.0328175604511634</v>
      </c>
      <c r="G39" s="148">
        <f>ROUND(PRODUCT(D39,F39)/PRODUCT(C39,E39),3)</f>
        <v>1.034</v>
      </c>
      <c r="H39" s="133"/>
      <c r="I39" s="133"/>
      <c r="J39" s="133"/>
      <c r="K39" s="133"/>
      <c r="L39" s="133"/>
      <c r="M39" s="137"/>
    </row>
    <row r="40" spans="1:13" ht="12" thickBot="1" x14ac:dyDescent="0.25">
      <c r="A40" s="140"/>
      <c r="B40" s="140"/>
      <c r="C40" s="204"/>
      <c r="D40" s="204"/>
      <c r="E40" s="204"/>
      <c r="F40" s="204"/>
      <c r="G40" s="204"/>
      <c r="H40" s="140"/>
      <c r="I40" s="140"/>
      <c r="J40" s="133"/>
      <c r="K40" s="133"/>
      <c r="L40" s="133"/>
      <c r="M40" s="137"/>
    </row>
    <row r="41" spans="1:13" ht="12" thickTop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7"/>
    </row>
    <row r="42" spans="1:13" x14ac:dyDescent="0.2">
      <c r="A42" s="133" t="s">
        <v>18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7"/>
    </row>
    <row r="43" spans="1:13" x14ac:dyDescent="0.2">
      <c r="A43" s="133"/>
      <c r="B43" s="139" t="str">
        <f>C12&amp;" "&amp;'3.2 premium trend'!$L$1&amp;", "&amp;'3.2 premium trend'!$L$2&amp;" "&amp;'3.2 premium trend'!$G$12</f>
        <v>(2) Exhibit 3, Sheet 2 (6)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7"/>
    </row>
    <row r="44" spans="1:13" x14ac:dyDescent="0.2">
      <c r="A44" s="133"/>
      <c r="B44" s="133" t="str">
        <f>D13&amp;" Latest Year / Quarter Ending Date - 6 Months"</f>
        <v>(3) Latest Year / Quarter Ending Date - 6 Months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7"/>
    </row>
    <row r="45" spans="1:13" x14ac:dyDescent="0.2">
      <c r="A45" s="133"/>
      <c r="B45" s="133" t="str">
        <f>D14&amp;" Latest Accident Year Ending Date - 6 Months"</f>
        <v>(4) Latest Accident Year Ending Date - 6 Months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7"/>
    </row>
    <row r="46" spans="1:13" x14ac:dyDescent="0.2">
      <c r="A46" s="133"/>
      <c r="B46" s="133" t="str">
        <f>D15&amp;" Rate Effective Date + 12 Months"</f>
        <v>(5) Rate Effective Date + 12 Months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7"/>
    </row>
    <row r="47" spans="1:13" x14ac:dyDescent="0.2">
      <c r="A47" s="133"/>
      <c r="B47" s="133" t="str">
        <f>D16&amp;" = "&amp;D15&amp;" - "&amp;D13</f>
        <v>(6) = (5) - (3)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7"/>
    </row>
    <row r="48" spans="1:13" x14ac:dyDescent="0.2">
      <c r="A48" s="133"/>
      <c r="B48" s="133" t="str">
        <f>D17&amp;" = "&amp;D15&amp;" - "&amp;D14</f>
        <v>(7) = (5) - (4)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7"/>
    </row>
    <row r="49" spans="1:13" x14ac:dyDescent="0.2">
      <c r="A49" s="133"/>
      <c r="B49" s="139" t="str">
        <f>D18&amp;" "&amp;'3.2 premium trend'!$L$1&amp;", "&amp;'3.2 premium trend'!$L$2</f>
        <v>(8) Exhibit 3, Sheet 2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7"/>
    </row>
    <row r="50" spans="1:13" x14ac:dyDescent="0.2">
      <c r="A50" s="133"/>
      <c r="B50" s="139" t="str">
        <f>D19&amp;" "&amp;'3.3a'!$L$1&amp;", "&amp;'3.3a'!$L$2</f>
        <v>(9) Exhibit 3, Sheet 3a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7"/>
    </row>
    <row r="51" spans="1:13" x14ac:dyDescent="0.2">
      <c r="A51" s="133"/>
      <c r="B51" s="161" t="str">
        <f>C28&amp;" = "&amp;C12&amp;" Indexed to "&amp;A22</f>
        <v>(11) = (2) Indexed to 2018 / 3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7"/>
    </row>
    <row r="52" spans="1:13" x14ac:dyDescent="0.2">
      <c r="A52" s="133"/>
      <c r="B52" s="139" t="str">
        <f>D28&amp;" "&amp;'3.3a'!$L$1&amp;", "&amp;'3.3a'!$L$2</f>
        <v>(12) Exhibit 3, Sheet 3a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7"/>
    </row>
    <row r="53" spans="1:13" x14ac:dyDescent="0.2">
      <c r="A53" s="133"/>
      <c r="B53" s="133" t="str">
        <f>E28&amp;" = [1 + "&amp;D18&amp;"] ^ "&amp;D16</f>
        <v>(13) = [1 + (8)] ^ (6)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7"/>
    </row>
    <row r="54" spans="1:13" x14ac:dyDescent="0.2">
      <c r="A54" s="133"/>
      <c r="B54" s="133" t="str">
        <f>F28&amp;" = [1 + "&amp;D19&amp;"] ^ "&amp;D17</f>
        <v>(14) = [1 + (9)] ^ (7)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7"/>
    </row>
    <row r="55" spans="1:13" x14ac:dyDescent="0.2">
      <c r="A55" s="133"/>
      <c r="B55" s="133" t="str">
        <f>G28&amp;" = ["&amp;D28&amp;" * "&amp;F28&amp;"] / ["&amp;C28&amp;" * "&amp;E28&amp;"]"</f>
        <v>(15) = [(12) * (14)] / [(11) * (13)]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7"/>
    </row>
    <row r="56" spans="1:13" x14ac:dyDescent="0.2">
      <c r="A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7"/>
    </row>
    <row r="57" spans="1:13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7"/>
    </row>
    <row r="58" spans="1:13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7"/>
    </row>
    <row r="59" spans="1:13" x14ac:dyDescent="0.2">
      <c r="A59" s="133"/>
      <c r="B59" s="133"/>
      <c r="C59" s="152"/>
      <c r="D59" s="133"/>
      <c r="E59" s="133"/>
      <c r="F59" s="152"/>
      <c r="G59" s="152"/>
      <c r="H59" s="133"/>
      <c r="I59" s="133"/>
      <c r="J59" s="133"/>
      <c r="K59" s="133"/>
      <c r="L59" s="133"/>
      <c r="M59" s="137"/>
    </row>
    <row r="60" spans="1:13" x14ac:dyDescent="0.2">
      <c r="A60" s="133"/>
      <c r="B60" s="146"/>
      <c r="C60" s="163"/>
      <c r="J60" s="133"/>
      <c r="K60" s="133"/>
      <c r="L60" s="133"/>
      <c r="M60" s="137"/>
    </row>
    <row r="61" spans="1:13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7"/>
    </row>
    <row r="62" spans="1:13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7"/>
    </row>
    <row r="63" spans="1:13" ht="12" thickBot="1" x14ac:dyDescent="0.2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7"/>
    </row>
    <row r="64" spans="1:13" ht="12" thickBot="1" x14ac:dyDescent="0.25">
      <c r="A64" s="153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5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O51"/>
  <sheetViews>
    <sheetView zoomScaleNormal="100" workbookViewId="0">
      <selection activeCell="F4" sqref="F4"/>
    </sheetView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4" x14ac:dyDescent="0.2">
      <c r="A1" s="8" t="str">
        <f>'1'!$A$1</f>
        <v>Texas Windstorm Insurance Association</v>
      </c>
      <c r="B1" s="12"/>
      <c r="L1" s="7" t="s">
        <v>68</v>
      </c>
      <c r="M1" s="1"/>
    </row>
    <row r="2" spans="1:14" x14ac:dyDescent="0.2">
      <c r="A2" s="8" t="str">
        <f>'1'!$A$2</f>
        <v>Residential Property - Wind &amp; Hail</v>
      </c>
      <c r="B2" s="12"/>
      <c r="L2" s="7" t="s">
        <v>22</v>
      </c>
      <c r="M2" s="2"/>
    </row>
    <row r="3" spans="1:14" x14ac:dyDescent="0.2">
      <c r="A3" s="8" t="str">
        <f>'1'!$A$3</f>
        <v>Rate Level Review</v>
      </c>
      <c r="B3" s="12"/>
      <c r="M3" s="2"/>
    </row>
    <row r="4" spans="1:14" x14ac:dyDescent="0.2">
      <c r="A4" t="s">
        <v>66</v>
      </c>
      <c r="B4" s="12"/>
      <c r="M4" s="2"/>
    </row>
    <row r="5" spans="1:14" x14ac:dyDescent="0.2">
      <c r="A5" t="s">
        <v>67</v>
      </c>
      <c r="B5" s="12"/>
      <c r="M5" s="2"/>
    </row>
    <row r="6" spans="1:14" x14ac:dyDescent="0.2"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M8" s="2"/>
    </row>
    <row r="9" spans="1:14" x14ac:dyDescent="0.2">
      <c r="C9" s="24" t="s">
        <v>69</v>
      </c>
      <c r="M9" s="2"/>
      <c r="N9" s="27"/>
    </row>
    <row r="10" spans="1:14" x14ac:dyDescent="0.2">
      <c r="A10" t="s">
        <v>54</v>
      </c>
      <c r="M10" s="2"/>
      <c r="N10" t="s">
        <v>70</v>
      </c>
    </row>
    <row r="11" spans="1:14" x14ac:dyDescent="0.2">
      <c r="A11" s="9" t="s">
        <v>55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92">
        <f>(YEAR($O$23)-YEAR($N$23)+1)*12+MONTH($O$23)-MONTH($N$23)</f>
        <v>15</v>
      </c>
    </row>
    <row r="12" spans="1:14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4" x14ac:dyDescent="0.2">
      <c r="M13" s="2"/>
    </row>
    <row r="14" spans="1:14" x14ac:dyDescent="0.2">
      <c r="A14" t="str">
        <f t="shared" ref="A14:A22" si="2">TEXT(A15-1,"#")</f>
        <v>2009</v>
      </c>
      <c r="B14" s="25"/>
      <c r="C14" s="189">
        <f>ROUND('[2]EC LDF'!B$33/1000,0)</f>
        <v>114845</v>
      </c>
      <c r="D14" s="189">
        <f>ROUND('[2]EC LDF'!C$33/1000,0)</f>
        <v>136583</v>
      </c>
      <c r="E14" s="189">
        <f>ROUND('[2]EC LDF'!D$33/1000,0)</f>
        <v>139262</v>
      </c>
      <c r="F14" s="189">
        <f>ROUND('[2]EC LDF'!E$33/1000,0)</f>
        <v>140625</v>
      </c>
      <c r="G14" s="189">
        <f>ROUND('[2]EC LDF'!F$33/1000,0)</f>
        <v>140941</v>
      </c>
      <c r="H14" s="189">
        <f>ROUND('[2]EC LDF'!G$33/1000,0)</f>
        <v>141037</v>
      </c>
      <c r="I14" s="189">
        <f>ROUND('[2]EC LDF'!H$33/1000,0)</f>
        <v>141064</v>
      </c>
      <c r="J14" s="189">
        <f>ROUND('[2]EC LDF'!I$33/1000,0)</f>
        <v>141075</v>
      </c>
      <c r="K14" s="189">
        <f>ROUND('[2]EC LDF'!J$33/1000,0)</f>
        <v>141084</v>
      </c>
      <c r="L14" s="94"/>
      <c r="M14" s="2"/>
    </row>
    <row r="15" spans="1:14" x14ac:dyDescent="0.2">
      <c r="A15" t="str">
        <f t="shared" si="2"/>
        <v>2010</v>
      </c>
      <c r="B15" s="25"/>
      <c r="C15" s="189">
        <f>ROUND('[2]EC LDF'!B$37/1000,0)</f>
        <v>63706</v>
      </c>
      <c r="D15" s="189">
        <f>ROUND('[2]EC LDF'!C$37/1000,0)</f>
        <v>70824</v>
      </c>
      <c r="E15" s="189">
        <f>ROUND('[2]EC LDF'!D$37/1000,0)</f>
        <v>72510</v>
      </c>
      <c r="F15" s="189">
        <f>ROUND('[2]EC LDF'!E$37/1000,0)</f>
        <v>73282</v>
      </c>
      <c r="G15" s="189">
        <f>ROUND('[2]EC LDF'!F$37/1000,0)</f>
        <v>73407</v>
      </c>
      <c r="H15" s="189">
        <f>ROUND('[2]EC LDF'!G$37/1000,0)</f>
        <v>73508</v>
      </c>
      <c r="I15" s="189">
        <f>ROUND('[2]EC LDF'!H$37/1000,0)</f>
        <v>73530</v>
      </c>
      <c r="J15" s="189">
        <f>ROUND('[2]EC LDF'!I$37/1000,0)</f>
        <v>73536</v>
      </c>
      <c r="K15" s="189">
        <f>ROUND('[2]EC LDF'!J$37/1000,0)</f>
        <v>73536</v>
      </c>
      <c r="L15" s="94"/>
      <c r="M15" s="2"/>
    </row>
    <row r="16" spans="1:14" x14ac:dyDescent="0.2">
      <c r="A16" t="str">
        <f t="shared" si="2"/>
        <v>2011</v>
      </c>
      <c r="B16" s="25"/>
      <c r="C16" s="189">
        <f>ROUND('[2]EC LDF'!B$41/1000,0)</f>
        <v>137269</v>
      </c>
      <c r="D16" s="189">
        <f>ROUND('[2]EC LDF'!C$41/1000,0)</f>
        <v>154006</v>
      </c>
      <c r="E16" s="189">
        <f>ROUND('[2]EC LDF'!D$41/1000,0)</f>
        <v>156583</v>
      </c>
      <c r="F16" s="189">
        <f>ROUND('[2]EC LDF'!E$41/1000,0)</f>
        <v>157456</v>
      </c>
      <c r="G16" s="189">
        <f>ROUND('[2]EC LDF'!F$41/1000,0)</f>
        <v>157929</v>
      </c>
      <c r="H16" s="189">
        <f>ROUND('[2]EC LDF'!G$41/1000,0)</f>
        <v>157995</v>
      </c>
      <c r="I16" s="189">
        <f>ROUND('[2]EC LDF'!H$41/1000,0)</f>
        <v>158032</v>
      </c>
      <c r="J16" s="189">
        <f>ROUND('[2]EC LDF'!I$41/1000,0)</f>
        <v>158046</v>
      </c>
      <c r="K16" s="189"/>
      <c r="L16" s="94"/>
      <c r="M16" s="2"/>
    </row>
    <row r="17" spans="1:15" x14ac:dyDescent="0.2">
      <c r="A17" t="str">
        <f>TEXT(A18-1,"#")</f>
        <v>2012</v>
      </c>
      <c r="B17" s="25"/>
      <c r="C17" s="189">
        <f>ROUND('[2]EC LDF'!B$45/1000,0)</f>
        <v>162844</v>
      </c>
      <c r="D17" s="189">
        <f>ROUND('[2]EC LDF'!C$45/1000,0)</f>
        <v>196788</v>
      </c>
      <c r="E17" s="189">
        <f>ROUND('[2]EC LDF'!D$45/1000,0)</f>
        <v>232373</v>
      </c>
      <c r="F17" s="189">
        <f>ROUND('[2]EC LDF'!E$45/1000,0)</f>
        <v>242523</v>
      </c>
      <c r="G17" s="189">
        <f>ROUND('[2]EC LDF'!F$45/1000,0)</f>
        <v>245227</v>
      </c>
      <c r="H17" s="189">
        <f>ROUND('[2]EC LDF'!G$45/1000,0)</f>
        <v>246785</v>
      </c>
      <c r="I17" s="189">
        <f>ROUND('[2]EC LDF'!H$45/1000,0)</f>
        <v>247419</v>
      </c>
      <c r="J17" s="189"/>
      <c r="K17" s="189"/>
      <c r="L17" s="94"/>
      <c r="M17" s="2"/>
    </row>
    <row r="18" spans="1:15" x14ac:dyDescent="0.2">
      <c r="A18" t="str">
        <f t="shared" si="2"/>
        <v>2013</v>
      </c>
      <c r="B18" s="25"/>
      <c r="C18" s="189">
        <f>ROUND('[2]EC LDF'!B$49/1000,0)</f>
        <v>124050</v>
      </c>
      <c r="D18" s="189">
        <f>ROUND('[2]EC LDF'!C$49/1000,0)</f>
        <v>143359</v>
      </c>
      <c r="E18" s="189">
        <f>ROUND('[2]EC LDF'!D$49/1000,0)</f>
        <v>151995</v>
      </c>
      <c r="F18" s="189">
        <f>ROUND('[2]EC LDF'!E$49/1000,0)</f>
        <v>154466</v>
      </c>
      <c r="G18" s="189">
        <f>ROUND('[2]EC LDF'!F$49/1000,0)</f>
        <v>156218</v>
      </c>
      <c r="H18" s="189">
        <f>ROUND('[2]EC LDF'!G$49/1000,0)</f>
        <v>156541</v>
      </c>
      <c r="I18" s="189"/>
      <c r="J18" s="189"/>
      <c r="K18" s="189"/>
      <c r="L18" s="94"/>
      <c r="M18" s="2"/>
    </row>
    <row r="19" spans="1:15" x14ac:dyDescent="0.2">
      <c r="A19" t="str">
        <f t="shared" si="2"/>
        <v>2014</v>
      </c>
      <c r="B19" s="25"/>
      <c r="C19" s="189">
        <f>ROUND('[2]EC LDF'!B$53/1000,0)</f>
        <v>151510</v>
      </c>
      <c r="D19" s="189">
        <f>ROUND('[2]EC LDF'!C$53/1000,0)</f>
        <v>178253</v>
      </c>
      <c r="E19" s="189">
        <f>ROUND('[2]EC LDF'!D$53/1000,0)</f>
        <v>187490</v>
      </c>
      <c r="F19" s="189">
        <f>ROUND('[2]EC LDF'!E$53/1000,0)</f>
        <v>191068</v>
      </c>
      <c r="G19" s="189">
        <f>ROUND('[2]EC LDF'!F$53/1000,0)</f>
        <v>191825</v>
      </c>
      <c r="H19" s="189"/>
      <c r="I19" s="189"/>
      <c r="J19" s="189"/>
      <c r="K19" s="189"/>
      <c r="L19" s="94"/>
      <c r="M19" s="2"/>
    </row>
    <row r="20" spans="1:15" x14ac:dyDescent="0.2">
      <c r="A20" t="str">
        <f t="shared" si="2"/>
        <v>2015</v>
      </c>
      <c r="B20" s="25"/>
      <c r="C20" s="189">
        <f>ROUND('[2]EC LDF'!B$57/1000,0)</f>
        <v>173851</v>
      </c>
      <c r="D20" s="189">
        <f>ROUND('[2]EC LDF'!C$57/1000,0)</f>
        <v>200069</v>
      </c>
      <c r="E20" s="189">
        <f>ROUND('[2]EC LDF'!D$57/1000,0)</f>
        <v>206343</v>
      </c>
      <c r="F20" s="189">
        <f>ROUND('[2]EC LDF'!E$57/1000,0)</f>
        <v>208327</v>
      </c>
      <c r="G20" s="189"/>
      <c r="H20" s="189"/>
      <c r="I20" s="189"/>
      <c r="J20" s="189"/>
      <c r="K20" s="189"/>
      <c r="L20" s="94"/>
      <c r="M20" s="2"/>
    </row>
    <row r="21" spans="1:15" x14ac:dyDescent="0.2">
      <c r="A21" t="str">
        <f t="shared" si="2"/>
        <v>2016</v>
      </c>
      <c r="B21" s="25"/>
      <c r="C21" s="189">
        <f>ROUND('[2]EC LDF'!B$61/1000,0)</f>
        <v>486124</v>
      </c>
      <c r="D21" s="189">
        <f>ROUND('[2]EC LDF'!C$61/1000,0)</f>
        <v>553332</v>
      </c>
      <c r="E21" s="189">
        <f>ROUND('[2]EC LDF'!D$61/1000,0)</f>
        <v>561570</v>
      </c>
      <c r="F21" s="189"/>
      <c r="G21" s="189"/>
      <c r="H21" s="189"/>
      <c r="I21" s="189"/>
      <c r="J21" s="189"/>
      <c r="K21" s="189"/>
      <c r="L21" s="94"/>
      <c r="M21" s="2"/>
    </row>
    <row r="22" spans="1:15" x14ac:dyDescent="0.2">
      <c r="A22" t="str">
        <f t="shared" si="2"/>
        <v>2017</v>
      </c>
      <c r="B22" s="25"/>
      <c r="C22" s="189">
        <f>ROUND('[2]EC LDF'!B$65/1000,0)</f>
        <v>634033</v>
      </c>
      <c r="D22" s="189">
        <f>ROUND('[2]EC LDF'!C$65/1000,0)</f>
        <v>775472</v>
      </c>
      <c r="E22" s="189"/>
      <c r="F22" s="189"/>
      <c r="G22" s="189"/>
      <c r="H22" s="189"/>
      <c r="I22" s="189"/>
      <c r="J22" s="189"/>
      <c r="K22" s="189"/>
      <c r="L22" s="94"/>
      <c r="M22" s="2"/>
      <c r="N22" t="s">
        <v>220</v>
      </c>
      <c r="O22" t="s">
        <v>221</v>
      </c>
    </row>
    <row r="23" spans="1:15" x14ac:dyDescent="0.2">
      <c r="A23" t="str">
        <f>TEXT(YEAR($N$23),"#")</f>
        <v>2018</v>
      </c>
      <c r="B23" s="25"/>
      <c r="C23" s="189">
        <f>ROUND('[2]EC LDF'!B$69/1000,0)</f>
        <v>181011</v>
      </c>
      <c r="D23" s="189"/>
      <c r="E23" s="189"/>
      <c r="F23" s="189"/>
      <c r="G23" s="189"/>
      <c r="H23" s="189"/>
      <c r="I23" s="189"/>
      <c r="J23" s="189"/>
      <c r="K23" s="189"/>
      <c r="L23" s="94"/>
      <c r="M23" s="2"/>
      <c r="N23" s="86">
        <f>'[2]EC LDF'!$B$1</f>
        <v>43373</v>
      </c>
      <c r="O23" s="86">
        <f>'[2]EC LDF'!$B$2</f>
        <v>43465</v>
      </c>
    </row>
    <row r="24" spans="1:15" x14ac:dyDescent="0.2">
      <c r="A24" s="9"/>
      <c r="B24" s="26"/>
      <c r="C24" s="95"/>
      <c r="D24" s="95"/>
      <c r="E24" s="95"/>
      <c r="F24" s="95"/>
      <c r="G24" s="95"/>
      <c r="H24" s="95"/>
      <c r="I24" s="95"/>
      <c r="J24" s="95"/>
      <c r="K24" s="95"/>
      <c r="L24" s="94"/>
      <c r="M24" s="2"/>
    </row>
    <row r="25" spans="1:15" x14ac:dyDescent="0.2">
      <c r="M25" s="2"/>
    </row>
    <row r="26" spans="1:15" x14ac:dyDescent="0.2">
      <c r="C26" s="24" t="s">
        <v>71</v>
      </c>
      <c r="M26" s="2"/>
    </row>
    <row r="27" spans="1:15" x14ac:dyDescent="0.2">
      <c r="A27" t="s">
        <v>54</v>
      </c>
      <c r="M27" s="2"/>
    </row>
    <row r="28" spans="1:15" x14ac:dyDescent="0.2">
      <c r="A28" s="9" t="s">
        <v>55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2009</v>
      </c>
      <c r="B31" s="25"/>
      <c r="C31" s="39">
        <f>IF(ISNUMBER(D14),D14/C14,"")</f>
        <v>1.1892812051025294</v>
      </c>
      <c r="D31" s="39">
        <f t="shared" ref="D31:J31" si="6">IF(ISNUMBER(E14),E14/D14,"")</f>
        <v>1.0196144468930979</v>
      </c>
      <c r="E31" s="39">
        <f t="shared" si="6"/>
        <v>1.0097873073774613</v>
      </c>
      <c r="F31" s="39">
        <f t="shared" si="6"/>
        <v>1.0022471111111111</v>
      </c>
      <c r="G31" s="39">
        <f t="shared" si="6"/>
        <v>1.0006811360782171</v>
      </c>
      <c r="H31" s="39">
        <f t="shared" si="6"/>
        <v>1.000191439125903</v>
      </c>
      <c r="I31" s="39">
        <f t="shared" si="6"/>
        <v>1.0000779787897691</v>
      </c>
      <c r="J31" s="39">
        <f t="shared" si="6"/>
        <v>1.0000637958532694</v>
      </c>
      <c r="K31" s="39" t="str">
        <f t="shared" ref="K31:K39" si="7">IF(ISNUMBER(M14),M14/K14,"")</f>
        <v/>
      </c>
      <c r="L31" s="39"/>
      <c r="M31" s="2"/>
    </row>
    <row r="32" spans="1:15" x14ac:dyDescent="0.2">
      <c r="A32" t="str">
        <f t="shared" si="5"/>
        <v>2010</v>
      </c>
      <c r="B32" s="25"/>
      <c r="C32" s="39">
        <f t="shared" ref="C32:J32" si="8">IF(ISNUMBER(D15),D15/C15,"")</f>
        <v>1.1117320189621072</v>
      </c>
      <c r="D32" s="39">
        <f t="shared" si="8"/>
        <v>1.0238054896645206</v>
      </c>
      <c r="E32" s="39">
        <f t="shared" si="8"/>
        <v>1.010646807336919</v>
      </c>
      <c r="F32" s="39">
        <f t="shared" si="8"/>
        <v>1.001705739472176</v>
      </c>
      <c r="G32" s="39">
        <f t="shared" si="8"/>
        <v>1.001375890582642</v>
      </c>
      <c r="H32" s="39">
        <f t="shared" si="8"/>
        <v>1.0002992871524188</v>
      </c>
      <c r="I32" s="39">
        <f t="shared" si="8"/>
        <v>1.0000815993472052</v>
      </c>
      <c r="J32" s="39">
        <f t="shared" si="8"/>
        <v>1</v>
      </c>
      <c r="K32" s="39" t="str">
        <f t="shared" si="7"/>
        <v/>
      </c>
      <c r="L32" s="39"/>
      <c r="M32" s="2"/>
    </row>
    <row r="33" spans="1:13" x14ac:dyDescent="0.2">
      <c r="A33" t="str">
        <f t="shared" si="5"/>
        <v>2011</v>
      </c>
      <c r="B33" s="25"/>
      <c r="C33" s="39">
        <f t="shared" ref="C33:J33" si="9">IF(ISNUMBER(D16),D16/C16,"")</f>
        <v>1.1219284762036585</v>
      </c>
      <c r="D33" s="39">
        <f t="shared" si="9"/>
        <v>1.0167331142942482</v>
      </c>
      <c r="E33" s="39">
        <f t="shared" si="9"/>
        <v>1.0055753178825289</v>
      </c>
      <c r="F33" s="39">
        <f t="shared" si="9"/>
        <v>1.0030040138197338</v>
      </c>
      <c r="G33" s="39">
        <f t="shared" si="9"/>
        <v>1.0004179093136789</v>
      </c>
      <c r="H33" s="39">
        <f t="shared" si="9"/>
        <v>1.0002341846260958</v>
      </c>
      <c r="I33" s="39">
        <f t="shared" si="9"/>
        <v>1.0000885896527285</v>
      </c>
      <c r="J33" s="39" t="str">
        <f t="shared" si="9"/>
        <v/>
      </c>
      <c r="K33" s="39" t="str">
        <f t="shared" si="7"/>
        <v/>
      </c>
      <c r="L33" s="39"/>
      <c r="M33" s="2"/>
    </row>
    <row r="34" spans="1:13" x14ac:dyDescent="0.2">
      <c r="A34" t="str">
        <f t="shared" si="5"/>
        <v>2012</v>
      </c>
      <c r="B34" s="25"/>
      <c r="C34" s="39">
        <f t="shared" ref="C34:J34" si="10">IF(ISNUMBER(D17),D17/C17,"")</f>
        <v>1.2084448920439192</v>
      </c>
      <c r="D34" s="39">
        <f t="shared" si="10"/>
        <v>1.1808291155964794</v>
      </c>
      <c r="E34" s="39">
        <f t="shared" si="10"/>
        <v>1.0436797734676575</v>
      </c>
      <c r="F34" s="39">
        <f t="shared" si="10"/>
        <v>1.0111494579895515</v>
      </c>
      <c r="G34" s="39">
        <f t="shared" si="10"/>
        <v>1.006353297149172</v>
      </c>
      <c r="H34" s="39">
        <f t="shared" si="10"/>
        <v>1.002569037826448</v>
      </c>
      <c r="I34" s="39" t="str">
        <f t="shared" si="10"/>
        <v/>
      </c>
      <c r="J34" s="39" t="str">
        <f t="shared" si="10"/>
        <v/>
      </c>
      <c r="K34" s="39" t="str">
        <f t="shared" si="7"/>
        <v/>
      </c>
      <c r="L34" s="39"/>
      <c r="M34" s="2"/>
    </row>
    <row r="35" spans="1:13" x14ac:dyDescent="0.2">
      <c r="A35" t="str">
        <f t="shared" si="5"/>
        <v>2013</v>
      </c>
      <c r="B35" s="25"/>
      <c r="C35" s="39">
        <f t="shared" ref="C35:J35" si="11">IF(ISNUMBER(D18),D18/C18,"")</f>
        <v>1.1556549778315195</v>
      </c>
      <c r="D35" s="39">
        <f t="shared" si="11"/>
        <v>1.0602403755606553</v>
      </c>
      <c r="E35" s="39">
        <f t="shared" si="11"/>
        <v>1.016257113720846</v>
      </c>
      <c r="F35" s="39">
        <f t="shared" si="11"/>
        <v>1.0113423018657828</v>
      </c>
      <c r="G35" s="39">
        <f t="shared" si="11"/>
        <v>1.0020676234492825</v>
      </c>
      <c r="H35" s="39" t="str">
        <f t="shared" si="11"/>
        <v/>
      </c>
      <c r="I35" s="39" t="str">
        <f t="shared" si="11"/>
        <v/>
      </c>
      <c r="J35" s="39" t="str">
        <f t="shared" si="11"/>
        <v/>
      </c>
      <c r="K35" s="39" t="str">
        <f t="shared" si="7"/>
        <v/>
      </c>
      <c r="L35" s="39"/>
      <c r="M35" s="2"/>
    </row>
    <row r="36" spans="1:13" x14ac:dyDescent="0.2">
      <c r="A36" t="str">
        <f t="shared" si="5"/>
        <v>2014</v>
      </c>
      <c r="B36" s="25"/>
      <c r="C36" s="39">
        <f t="shared" ref="C36:J36" si="12">IF(ISNUMBER(D19),D19/C19,"")</f>
        <v>1.1765098013332453</v>
      </c>
      <c r="D36" s="39">
        <f t="shared" si="12"/>
        <v>1.0518196047191353</v>
      </c>
      <c r="E36" s="39">
        <f t="shared" si="12"/>
        <v>1.0190836844631714</v>
      </c>
      <c r="F36" s="39">
        <f t="shared" si="12"/>
        <v>1.0039619402516382</v>
      </c>
      <c r="G36" s="39" t="str">
        <f t="shared" si="12"/>
        <v/>
      </c>
      <c r="H36" s="39" t="str">
        <f t="shared" si="12"/>
        <v/>
      </c>
      <c r="I36" s="39" t="str">
        <f t="shared" si="12"/>
        <v/>
      </c>
      <c r="J36" s="39" t="str">
        <f t="shared" si="12"/>
        <v/>
      </c>
      <c r="K36" s="39" t="str">
        <f t="shared" si="7"/>
        <v/>
      </c>
      <c r="L36" s="39"/>
      <c r="M36" s="2"/>
    </row>
    <row r="37" spans="1:13" x14ac:dyDescent="0.2">
      <c r="A37" t="str">
        <f t="shared" si="5"/>
        <v>2015</v>
      </c>
      <c r="B37" s="25"/>
      <c r="C37" s="39">
        <f t="shared" ref="C37:J37" si="13">IF(ISNUMBER(D20),D20/C20,"")</f>
        <v>1.150807300504455</v>
      </c>
      <c r="D37" s="39">
        <f t="shared" si="13"/>
        <v>1.0313591810825264</v>
      </c>
      <c r="E37" s="39">
        <f t="shared" si="13"/>
        <v>1.0096150584221417</v>
      </c>
      <c r="F37" s="39" t="str">
        <f t="shared" si="13"/>
        <v/>
      </c>
      <c r="G37" s="39" t="str">
        <f t="shared" si="13"/>
        <v/>
      </c>
      <c r="H37" s="39" t="str">
        <f t="shared" si="13"/>
        <v/>
      </c>
      <c r="I37" s="39" t="str">
        <f t="shared" si="13"/>
        <v/>
      </c>
      <c r="J37" s="39" t="str">
        <f t="shared" si="13"/>
        <v/>
      </c>
      <c r="K37" s="39" t="str">
        <f t="shared" si="7"/>
        <v/>
      </c>
      <c r="L37" s="39"/>
      <c r="M37" s="2"/>
    </row>
    <row r="38" spans="1:13" x14ac:dyDescent="0.2">
      <c r="A38" t="str">
        <f t="shared" si="5"/>
        <v>2016</v>
      </c>
      <c r="B38" s="25"/>
      <c r="C38" s="39">
        <f t="shared" ref="C38:J38" si="14">IF(ISNUMBER(D21),D21/C21,"")</f>
        <v>1.1382527914688434</v>
      </c>
      <c r="D38" s="39">
        <f t="shared" si="14"/>
        <v>1.0148879876818979</v>
      </c>
      <c r="E38" s="39" t="str">
        <f t="shared" si="14"/>
        <v/>
      </c>
      <c r="F38" s="39" t="str">
        <f t="shared" si="14"/>
        <v/>
      </c>
      <c r="G38" s="39" t="str">
        <f t="shared" si="14"/>
        <v/>
      </c>
      <c r="H38" s="39" t="str">
        <f t="shared" si="14"/>
        <v/>
      </c>
      <c r="I38" s="39" t="str">
        <f t="shared" si="14"/>
        <v/>
      </c>
      <c r="J38" s="39" t="str">
        <f t="shared" si="14"/>
        <v/>
      </c>
      <c r="K38" s="39" t="str">
        <f t="shared" si="7"/>
        <v/>
      </c>
      <c r="L38" s="39"/>
      <c r="M38" s="2"/>
    </row>
    <row r="39" spans="1:13" x14ac:dyDescent="0.2">
      <c r="A39" t="str">
        <f t="shared" si="5"/>
        <v>2017</v>
      </c>
      <c r="B39" s="25"/>
      <c r="C39" s="39">
        <f>IF(ISNUMBER(D22),D22/C22,"")</f>
        <v>1.2230782940320142</v>
      </c>
      <c r="D39" s="39" t="str">
        <f t="shared" ref="D39:J39" si="15">IF(ISNUMBER(E22),E22/D22,"")</f>
        <v/>
      </c>
      <c r="E39" s="39" t="str">
        <f t="shared" si="15"/>
        <v/>
      </c>
      <c r="F39" s="39" t="str">
        <f t="shared" si="15"/>
        <v/>
      </c>
      <c r="G39" s="39" t="str">
        <f t="shared" si="15"/>
        <v/>
      </c>
      <c r="H39" s="39" t="str">
        <f t="shared" si="15"/>
        <v/>
      </c>
      <c r="I39" s="39" t="str">
        <f t="shared" si="15"/>
        <v/>
      </c>
      <c r="J39" s="39" t="str">
        <f t="shared" si="15"/>
        <v/>
      </c>
      <c r="K39" s="39" t="str">
        <f t="shared" si="7"/>
        <v/>
      </c>
      <c r="L39" s="39"/>
      <c r="M39" s="2"/>
    </row>
    <row r="40" spans="1:13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</row>
    <row r="41" spans="1:13" x14ac:dyDescent="0.2">
      <c r="C41" s="19"/>
      <c r="M41" s="2"/>
    </row>
    <row r="42" spans="1:13" x14ac:dyDescent="0.2">
      <c r="A42" t="s">
        <v>72</v>
      </c>
      <c r="B42" s="25"/>
      <c r="C42" s="41">
        <f>AVERAGE(C31:C39)</f>
        <v>1.1639655286091435</v>
      </c>
      <c r="D42" s="41">
        <f t="shared" ref="D42:J42" si="16">AVERAGE(D31:D39)</f>
        <v>1.04991116443657</v>
      </c>
      <c r="E42" s="41">
        <f t="shared" si="16"/>
        <v>1.016377866095818</v>
      </c>
      <c r="F42" s="41">
        <f t="shared" si="16"/>
        <v>1.0055684274183323</v>
      </c>
      <c r="G42" s="41">
        <f t="shared" si="16"/>
        <v>1.0021791713145984</v>
      </c>
      <c r="H42" s="41">
        <f t="shared" si="16"/>
        <v>1.0008234871827164</v>
      </c>
      <c r="I42" s="41">
        <f t="shared" si="16"/>
        <v>1.0000827225965676</v>
      </c>
      <c r="J42" s="41">
        <f t="shared" si="16"/>
        <v>1.0000318979266347</v>
      </c>
      <c r="M42" s="2"/>
    </row>
    <row r="43" spans="1:13" x14ac:dyDescent="0.2">
      <c r="A43" t="s">
        <v>73</v>
      </c>
      <c r="B43" s="25"/>
      <c r="C43" s="41">
        <f>AVERAGE(C35:C39)</f>
        <v>1.1688606330340154</v>
      </c>
      <c r="D43" s="41">
        <f>AVERAGE(D34:D38)</f>
        <v>1.0678272529281387</v>
      </c>
      <c r="E43" s="41">
        <f>AVERAGE(E33:E37)</f>
        <v>1.0188421895912692</v>
      </c>
      <c r="F43" s="41">
        <f>AVERAGE(F32:F36)</f>
        <v>1.0062326906797765</v>
      </c>
      <c r="G43" s="41">
        <f>AVERAGE(G31:G35)</f>
        <v>1.0021791713145984</v>
      </c>
      <c r="H43" s="41">
        <f>AVERAGE(H31:H34)</f>
        <v>1.0008234871827164</v>
      </c>
      <c r="I43" s="41">
        <f>AVERAGE(I31:I33)</f>
        <v>1.0000827225965676</v>
      </c>
      <c r="J43" s="41">
        <f>AVERAGE(J31:J32)</f>
        <v>1.0000318979266347</v>
      </c>
      <c r="M43" s="2"/>
    </row>
    <row r="44" spans="1:13" x14ac:dyDescent="0.2">
      <c r="A44" t="s">
        <v>270</v>
      </c>
      <c r="C44" s="126">
        <v>1.1616570913682061</v>
      </c>
      <c r="D44" s="126">
        <v>1.0550188385989698</v>
      </c>
      <c r="E44" s="126">
        <v>1.0259817795175952</v>
      </c>
      <c r="F44" s="126">
        <v>1.0191928373679597</v>
      </c>
      <c r="G44" s="126">
        <v>1.0055562793511126</v>
      </c>
      <c r="H44" s="126">
        <v>1.0003436677282607</v>
      </c>
      <c r="I44" s="126">
        <v>1.000562096968562</v>
      </c>
      <c r="J44" s="126">
        <v>1.0002170231123042</v>
      </c>
      <c r="K44" s="126">
        <v>1</v>
      </c>
      <c r="L44" s="126"/>
      <c r="M44" s="2"/>
    </row>
    <row r="45" spans="1:13" x14ac:dyDescent="0.2">
      <c r="A45" t="s">
        <v>74</v>
      </c>
      <c r="C45" s="42">
        <f>AVERAGE(C42,C44)</f>
        <v>1.1628113099886748</v>
      </c>
      <c r="D45" s="42">
        <f t="shared" ref="D45:K45" si="17">AVERAGE(D42,D44)</f>
        <v>1.0524650015177699</v>
      </c>
      <c r="E45" s="42">
        <f t="shared" si="17"/>
        <v>1.0211798228067066</v>
      </c>
      <c r="F45" s="42">
        <f t="shared" si="17"/>
        <v>1.0123806323931461</v>
      </c>
      <c r="G45" s="42">
        <f t="shared" si="17"/>
        <v>1.0038677253328556</v>
      </c>
      <c r="H45" s="42">
        <f t="shared" si="17"/>
        <v>1.0005835774554885</v>
      </c>
      <c r="I45" s="42">
        <f t="shared" si="17"/>
        <v>1.0003224097825649</v>
      </c>
      <c r="J45" s="42">
        <f t="shared" si="17"/>
        <v>1.0001244605194695</v>
      </c>
      <c r="K45" s="42">
        <f t="shared" si="17"/>
        <v>1</v>
      </c>
      <c r="L45" s="42"/>
      <c r="M45" s="2"/>
    </row>
    <row r="46" spans="1:13" x14ac:dyDescent="0.2">
      <c r="A46" t="s">
        <v>352</v>
      </c>
      <c r="C46" s="36">
        <f t="shared" ref="C46:J46" si="18">ROUND(C45*D46,3)</f>
        <v>1.272</v>
      </c>
      <c r="D46" s="36">
        <f t="shared" si="18"/>
        <v>1.0940000000000001</v>
      </c>
      <c r="E46" s="36">
        <f t="shared" si="18"/>
        <v>1.0389999999999999</v>
      </c>
      <c r="F46" s="36">
        <f t="shared" si="18"/>
        <v>1.0169999999999999</v>
      </c>
      <c r="G46" s="36">
        <f t="shared" si="18"/>
        <v>1.0049999999999999</v>
      </c>
      <c r="H46" s="36">
        <f t="shared" si="18"/>
        <v>1.0009999999999999</v>
      </c>
      <c r="I46" s="36">
        <f t="shared" si="18"/>
        <v>1</v>
      </c>
      <c r="J46" s="36">
        <f t="shared" si="18"/>
        <v>1</v>
      </c>
      <c r="K46" s="36">
        <v>1</v>
      </c>
      <c r="M46" s="2"/>
    </row>
    <row r="47" spans="1:13" ht="12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13" ht="12" thickTop="1" x14ac:dyDescent="0.2">
      <c r="A48" t="s">
        <v>18</v>
      </c>
      <c r="M48" s="2"/>
    </row>
    <row r="49" spans="1:13" x14ac:dyDescent="0.2">
      <c r="B49" s="22" t="str">
        <f>"Provided by TICO.  Accident years ending "&amp;TEXT($N$23,"m/d/xx")</f>
        <v>Provided by TICO.  Accident years ending 9/30/xx</v>
      </c>
      <c r="M49" s="2"/>
    </row>
    <row r="50" spans="1:13" ht="12" thickBot="1" x14ac:dyDescent="0.25">
      <c r="M50" s="2"/>
    </row>
    <row r="51" spans="1:13" ht="12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honeticPr fontId="0" type="noConversion"/>
  <pageMargins left="0.5" right="0.5" top="0.5" bottom="0.5" header="0.5" footer="0.5"/>
  <pageSetup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53"/>
  <sheetViews>
    <sheetView topLeftCell="O24" zoomScaleNormal="100" workbookViewId="0">
      <selection activeCell="AF68" sqref="AF68"/>
    </sheetView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4" x14ac:dyDescent="0.2">
      <c r="A1" s="8" t="str">
        <f>'1'!$A$1</f>
        <v>Texas Windstorm Insurance Association</v>
      </c>
      <c r="B1" s="12"/>
      <c r="L1" s="7" t="s">
        <v>68</v>
      </c>
      <c r="M1" s="1"/>
    </row>
    <row r="2" spans="1:14" x14ac:dyDescent="0.2">
      <c r="A2" s="8" t="str">
        <f>'1'!$A$2</f>
        <v>Residential Property - Wind &amp; Hail</v>
      </c>
      <c r="B2" s="12"/>
      <c r="L2" s="7" t="s">
        <v>22</v>
      </c>
      <c r="M2" s="2"/>
    </row>
    <row r="3" spans="1:14" x14ac:dyDescent="0.2">
      <c r="A3" s="8" t="str">
        <f>'1'!$A$3</f>
        <v>Rate Level Review</v>
      </c>
      <c r="B3" s="12"/>
      <c r="M3" s="2"/>
    </row>
    <row r="4" spans="1:14" x14ac:dyDescent="0.2">
      <c r="A4" t="s">
        <v>90</v>
      </c>
      <c r="B4" s="12"/>
      <c r="M4" s="2"/>
    </row>
    <row r="5" spans="1:14" x14ac:dyDescent="0.2">
      <c r="A5" t="s">
        <v>67</v>
      </c>
      <c r="B5" s="12"/>
      <c r="M5" s="2"/>
    </row>
    <row r="6" spans="1:14" x14ac:dyDescent="0.2"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M8" s="2"/>
    </row>
    <row r="9" spans="1:14" x14ac:dyDescent="0.2">
      <c r="C9" s="24" t="s">
        <v>69</v>
      </c>
      <c r="M9" s="2"/>
      <c r="N9" s="27"/>
    </row>
    <row r="10" spans="1:14" x14ac:dyDescent="0.2">
      <c r="A10" t="s">
        <v>54</v>
      </c>
      <c r="M10" s="2"/>
      <c r="N10" t="s">
        <v>70</v>
      </c>
    </row>
    <row r="11" spans="1:14" x14ac:dyDescent="0.2">
      <c r="A11" s="9" t="s">
        <v>55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92">
        <f>(YEAR($O$23)-YEAR($N$23)+1)*12+MONTH($O$23)-MONTH($N$23)</f>
        <v>15</v>
      </c>
    </row>
    <row r="12" spans="1:14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4" x14ac:dyDescent="0.2">
      <c r="M13" s="2"/>
    </row>
    <row r="14" spans="1:14" x14ac:dyDescent="0.2">
      <c r="A14" t="str">
        <f t="shared" ref="A14:A22" si="2">TEXT(A15-1,"#")</f>
        <v>2009</v>
      </c>
      <c r="B14" s="25"/>
      <c r="C14" s="189">
        <f>ROUND('[2]EC LDF'!B$35/1000,0)</f>
        <v>120734</v>
      </c>
      <c r="D14" s="189">
        <f>ROUND('[2]EC LDF'!C$35/1000,0)</f>
        <v>137926</v>
      </c>
      <c r="E14" s="189">
        <f>ROUND('[2]EC LDF'!D$35/1000,0)</f>
        <v>139542</v>
      </c>
      <c r="F14" s="189">
        <f>ROUND('[2]EC LDF'!E$35/1000,0)</f>
        <v>140871</v>
      </c>
      <c r="G14" s="189">
        <f>ROUND('[2]EC LDF'!F$35/1000,0)</f>
        <v>140966</v>
      </c>
      <c r="H14" s="189">
        <f>ROUND('[2]EC LDF'!G$35/1000,0)</f>
        <v>141041</v>
      </c>
      <c r="I14" s="189">
        <f>ROUND('[2]EC LDF'!H$35/1000,0)</f>
        <v>141071</v>
      </c>
      <c r="J14" s="189">
        <f>ROUND('[2]EC LDF'!I$35/1000,0)</f>
        <v>141078</v>
      </c>
      <c r="K14" s="189">
        <f>ROUND('[2]EC LDF'!J$35/1000,0)</f>
        <v>141084</v>
      </c>
      <c r="L14" s="94"/>
      <c r="M14" s="2"/>
    </row>
    <row r="15" spans="1:14" x14ac:dyDescent="0.2">
      <c r="A15" t="str">
        <f t="shared" si="2"/>
        <v>2010</v>
      </c>
      <c r="B15" s="25"/>
      <c r="C15" s="189">
        <f>ROUND('[2]EC LDF'!B$39/1000,0)</f>
        <v>66045</v>
      </c>
      <c r="D15" s="189">
        <f>ROUND('[2]EC LDF'!C$39/1000,0)</f>
        <v>71578</v>
      </c>
      <c r="E15" s="189">
        <f>ROUND('[2]EC LDF'!D$39/1000,0)</f>
        <v>72984</v>
      </c>
      <c r="F15" s="189">
        <f>ROUND('[2]EC LDF'!E$39/1000,0)</f>
        <v>73568</v>
      </c>
      <c r="G15" s="189">
        <f>ROUND('[2]EC LDF'!F$39/1000,0)</f>
        <v>73599</v>
      </c>
      <c r="H15" s="189">
        <f>ROUND('[2]EC LDF'!G$39/1000,0)</f>
        <v>73573</v>
      </c>
      <c r="I15" s="189">
        <f>ROUND('[2]EC LDF'!H$39/1000,0)</f>
        <v>73530</v>
      </c>
      <c r="J15" s="189">
        <f>ROUND('[2]EC LDF'!I$39/1000,0)</f>
        <v>73536</v>
      </c>
      <c r="K15" s="189">
        <f>ROUND('[2]EC LDF'!J$39/1000,0)</f>
        <v>73536</v>
      </c>
      <c r="L15" s="94"/>
      <c r="M15" s="2"/>
    </row>
    <row r="16" spans="1:14" x14ac:dyDescent="0.2">
      <c r="A16" t="str">
        <f t="shared" si="2"/>
        <v>2011</v>
      </c>
      <c r="B16" s="25"/>
      <c r="C16" s="189">
        <f>ROUND('[2]EC LDF'!B$43/1000,0)</f>
        <v>143685</v>
      </c>
      <c r="D16" s="189">
        <f>ROUND('[2]EC LDF'!C$43/1000,0)</f>
        <v>155082</v>
      </c>
      <c r="E16" s="189">
        <f>ROUND('[2]EC LDF'!D$43/1000,0)</f>
        <v>157261</v>
      </c>
      <c r="F16" s="189">
        <f>ROUND('[2]EC LDF'!E$43/1000,0)</f>
        <v>157739</v>
      </c>
      <c r="G16" s="189">
        <f>ROUND('[2]EC LDF'!F$43/1000,0)</f>
        <v>158014</v>
      </c>
      <c r="H16" s="189">
        <f>ROUND('[2]EC LDF'!G$43/1000,0)</f>
        <v>157995</v>
      </c>
      <c r="I16" s="189">
        <f>ROUND('[2]EC LDF'!H$43/1000,0)</f>
        <v>158050</v>
      </c>
      <c r="J16" s="189">
        <f>ROUND('[2]EC LDF'!I$43/1000,0)</f>
        <v>158046</v>
      </c>
      <c r="K16" s="189"/>
      <c r="L16" s="94"/>
      <c r="M16" s="2"/>
    </row>
    <row r="17" spans="1:15" x14ac:dyDescent="0.2">
      <c r="A17" t="str">
        <f>TEXT(A18-1,"#")</f>
        <v>2012</v>
      </c>
      <c r="B17" s="25"/>
      <c r="C17" s="189">
        <f>ROUND('[2]EC LDF'!B$47/1000,0)</f>
        <v>170023</v>
      </c>
      <c r="D17" s="189">
        <f>ROUND('[2]EC LDF'!C$47/1000,0)</f>
        <v>203480</v>
      </c>
      <c r="E17" s="189">
        <f>ROUND('[2]EC LDF'!D$47/1000,0)</f>
        <v>240439</v>
      </c>
      <c r="F17" s="189">
        <f>ROUND('[2]EC LDF'!E$47/1000,0)</f>
        <v>246180</v>
      </c>
      <c r="G17" s="189">
        <f>ROUND('[2]EC LDF'!F$47/1000,0)</f>
        <v>247027</v>
      </c>
      <c r="H17" s="189">
        <f>ROUND('[2]EC LDF'!G$47/1000,0)</f>
        <v>247422</v>
      </c>
      <c r="I17" s="189">
        <f>ROUND('[2]EC LDF'!H$47/1000,0)</f>
        <v>247520</v>
      </c>
      <c r="J17" s="189"/>
      <c r="K17" s="189"/>
      <c r="L17" s="94"/>
      <c r="M17" s="2"/>
    </row>
    <row r="18" spans="1:15" x14ac:dyDescent="0.2">
      <c r="A18" t="str">
        <f t="shared" si="2"/>
        <v>2013</v>
      </c>
      <c r="B18" s="25"/>
      <c r="C18" s="189">
        <f>ROUND('[2]EC LDF'!B$51/1000,0)</f>
        <v>127453</v>
      </c>
      <c r="D18" s="189">
        <f>ROUND('[2]EC LDF'!C$51/1000,0)</f>
        <v>147009</v>
      </c>
      <c r="E18" s="189">
        <f>ROUND('[2]EC LDF'!D$51/1000,0)</f>
        <v>154930</v>
      </c>
      <c r="F18" s="189">
        <f>ROUND('[2]EC LDF'!E$51/1000,0)</f>
        <v>155922</v>
      </c>
      <c r="G18" s="189">
        <f>ROUND('[2]EC LDF'!F$51/1000,0)</f>
        <v>156569</v>
      </c>
      <c r="H18" s="189">
        <f>ROUND('[2]EC LDF'!G$51/1000,0)</f>
        <v>156577</v>
      </c>
      <c r="I18" s="189"/>
      <c r="J18" s="189"/>
      <c r="K18" s="189"/>
      <c r="L18" s="94"/>
      <c r="M18" s="2"/>
    </row>
    <row r="19" spans="1:15" x14ac:dyDescent="0.2">
      <c r="A19" t="str">
        <f t="shared" si="2"/>
        <v>2014</v>
      </c>
      <c r="B19" s="25"/>
      <c r="C19" s="189">
        <f>ROUND('[2]EC LDF'!B$55/1000,0)</f>
        <v>157426</v>
      </c>
      <c r="D19" s="189">
        <f>ROUND('[2]EC LDF'!C$55/1000,0)</f>
        <v>183366</v>
      </c>
      <c r="E19" s="189">
        <f>ROUND('[2]EC LDF'!D$55/1000,0)</f>
        <v>190278</v>
      </c>
      <c r="F19" s="189">
        <f>ROUND('[2]EC LDF'!E$55/1000,0)</f>
        <v>191866</v>
      </c>
      <c r="G19" s="189">
        <f>ROUND('[2]EC LDF'!F$55/1000,0)</f>
        <v>192056</v>
      </c>
      <c r="H19" s="189"/>
      <c r="I19" s="189"/>
      <c r="J19" s="189"/>
      <c r="K19" s="189"/>
      <c r="L19" s="94"/>
      <c r="M19" s="2"/>
    </row>
    <row r="20" spans="1:15" x14ac:dyDescent="0.2">
      <c r="A20" t="str">
        <f t="shared" si="2"/>
        <v>2015</v>
      </c>
      <c r="B20" s="25"/>
      <c r="C20" s="189">
        <f>ROUND('[2]EC LDF'!B$59/1000,0)</f>
        <v>183266</v>
      </c>
      <c r="D20" s="189">
        <f>ROUND('[2]EC LDF'!C$59/1000,0)</f>
        <v>204239</v>
      </c>
      <c r="E20" s="189">
        <f>ROUND('[2]EC LDF'!D$59/1000,0)</f>
        <v>208541</v>
      </c>
      <c r="F20" s="189">
        <f>ROUND('[2]EC LDF'!E$59/1000,0)</f>
        <v>209008</v>
      </c>
      <c r="G20" s="189"/>
      <c r="H20" s="189"/>
      <c r="I20" s="189"/>
      <c r="J20" s="189"/>
      <c r="K20" s="189"/>
      <c r="L20" s="94"/>
      <c r="M20" s="2"/>
    </row>
    <row r="21" spans="1:15" x14ac:dyDescent="0.2">
      <c r="A21" t="str">
        <f t="shared" si="2"/>
        <v>2016</v>
      </c>
      <c r="B21" s="25"/>
      <c r="C21" s="189">
        <f>ROUND('[2]EC LDF'!B$63/1000,0)</f>
        <v>498092</v>
      </c>
      <c r="D21" s="189">
        <f>ROUND('[2]EC LDF'!C$63/1000,0)</f>
        <v>556120</v>
      </c>
      <c r="E21" s="189">
        <f>ROUND('[2]EC LDF'!D$63/1000,0)</f>
        <v>562298</v>
      </c>
      <c r="F21" s="189"/>
      <c r="G21" s="189"/>
      <c r="H21" s="189"/>
      <c r="I21" s="189"/>
      <c r="J21" s="189"/>
      <c r="K21" s="189"/>
      <c r="L21" s="94"/>
      <c r="M21" s="2"/>
    </row>
    <row r="22" spans="1:15" x14ac:dyDescent="0.2">
      <c r="A22" t="str">
        <f t="shared" si="2"/>
        <v>2017</v>
      </c>
      <c r="B22" s="25"/>
      <c r="C22" s="189">
        <f>ROUND('[2]EC LDF'!B$67/1000,0)</f>
        <v>665247</v>
      </c>
      <c r="D22" s="189">
        <f>ROUND('[2]EC LDF'!C$67/1000,0)</f>
        <v>791814</v>
      </c>
      <c r="E22" s="189"/>
      <c r="F22" s="189"/>
      <c r="G22" s="189"/>
      <c r="H22" s="189"/>
      <c r="I22" s="189"/>
      <c r="J22" s="189"/>
      <c r="K22" s="189"/>
      <c r="L22" s="94"/>
      <c r="M22" s="2"/>
      <c r="N22" t="s">
        <v>220</v>
      </c>
      <c r="O22" t="s">
        <v>221</v>
      </c>
    </row>
    <row r="23" spans="1:15" x14ac:dyDescent="0.2">
      <c r="A23" t="str">
        <f>TEXT(YEAR($N$23),"#")</f>
        <v>2018</v>
      </c>
      <c r="B23" s="25"/>
      <c r="C23" s="189">
        <f>ROUND('[2]EC LDF'!B$71/1000,0)</f>
        <v>186500</v>
      </c>
      <c r="D23" s="189"/>
      <c r="E23" s="189"/>
      <c r="F23" s="189"/>
      <c r="G23" s="189"/>
      <c r="H23" s="189"/>
      <c r="I23" s="189"/>
      <c r="J23" s="189"/>
      <c r="K23" s="189"/>
      <c r="L23" s="94"/>
      <c r="M23" s="2"/>
      <c r="N23" s="86">
        <f>'[2]EC LDF'!$B$1</f>
        <v>43373</v>
      </c>
      <c r="O23" s="86">
        <f>'[2]EC LDF'!$B$2</f>
        <v>43465</v>
      </c>
    </row>
    <row r="24" spans="1:15" x14ac:dyDescent="0.2">
      <c r="A24" s="9"/>
      <c r="B24" s="26"/>
      <c r="C24" s="95"/>
      <c r="D24" s="95"/>
      <c r="E24" s="95"/>
      <c r="F24" s="95"/>
      <c r="G24" s="95"/>
      <c r="H24" s="95"/>
      <c r="I24" s="95"/>
      <c r="J24" s="95"/>
      <c r="K24" s="95"/>
      <c r="L24" s="94"/>
      <c r="M24" s="2"/>
    </row>
    <row r="25" spans="1:15" x14ac:dyDescent="0.2">
      <c r="M25" s="2"/>
    </row>
    <row r="26" spans="1:15" x14ac:dyDescent="0.2">
      <c r="C26" s="24" t="s">
        <v>71</v>
      </c>
      <c r="M26" s="2"/>
    </row>
    <row r="27" spans="1:15" x14ac:dyDescent="0.2">
      <c r="A27" t="s">
        <v>54</v>
      </c>
      <c r="M27" s="2"/>
    </row>
    <row r="28" spans="1:15" x14ac:dyDescent="0.2">
      <c r="A28" s="9" t="s">
        <v>55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2009</v>
      </c>
      <c r="B31" s="25"/>
      <c r="C31" s="39">
        <f>IF(ISNUMBER(D14),D14/C14,"")</f>
        <v>1.1423956797588086</v>
      </c>
      <c r="D31" s="39">
        <f t="shared" ref="D31:J31" si="6">IF(ISNUMBER(E14),E14/D14,"")</f>
        <v>1.0117164276496091</v>
      </c>
      <c r="E31" s="39">
        <f t="shared" si="6"/>
        <v>1.0095240142752719</v>
      </c>
      <c r="F31" s="39">
        <f t="shared" si="6"/>
        <v>1.0006743758474066</v>
      </c>
      <c r="G31" s="39">
        <f t="shared" si="6"/>
        <v>1.0005320431877189</v>
      </c>
      <c r="H31" s="39">
        <f t="shared" si="6"/>
        <v>1.0002127041073163</v>
      </c>
      <c r="I31" s="39">
        <f t="shared" si="6"/>
        <v>1.00004962040391</v>
      </c>
      <c r="J31" s="39">
        <f t="shared" si="6"/>
        <v>1.0000425296644408</v>
      </c>
      <c r="K31" s="39">
        <v>1</v>
      </c>
      <c r="L31" s="39"/>
      <c r="M31" s="2"/>
    </row>
    <row r="32" spans="1:15" x14ac:dyDescent="0.2">
      <c r="A32" t="str">
        <f t="shared" si="5"/>
        <v>2010</v>
      </c>
      <c r="B32" s="25"/>
      <c r="C32" s="39">
        <f t="shared" ref="C32:J39" si="7">IF(ISNUMBER(D15),D15/C15,"")</f>
        <v>1.0837762131879778</v>
      </c>
      <c r="D32" s="39">
        <f t="shared" si="7"/>
        <v>1.0196429070384756</v>
      </c>
      <c r="E32" s="39">
        <f t="shared" si="7"/>
        <v>1.008001753809054</v>
      </c>
      <c r="F32" s="39">
        <f t="shared" si="7"/>
        <v>1.000421378860374</v>
      </c>
      <c r="G32" s="39">
        <f t="shared" si="7"/>
        <v>0.99964673433062945</v>
      </c>
      <c r="H32" s="39">
        <f t="shared" si="7"/>
        <v>0.99941554646405606</v>
      </c>
      <c r="I32" s="39">
        <f t="shared" si="7"/>
        <v>1.0000815993472052</v>
      </c>
      <c r="J32" s="39">
        <f t="shared" si="7"/>
        <v>1</v>
      </c>
      <c r="K32" s="39" t="str">
        <f t="shared" ref="K32:K39" si="8">IF(ISNUMBER(M15),M15/K15,"")</f>
        <v/>
      </c>
      <c r="L32" s="39"/>
      <c r="M32" s="2"/>
    </row>
    <row r="33" spans="1:13" x14ac:dyDescent="0.2">
      <c r="A33" t="str">
        <f t="shared" si="5"/>
        <v>2011</v>
      </c>
      <c r="B33" s="25"/>
      <c r="C33" s="39">
        <f t="shared" si="7"/>
        <v>1.0793193443992066</v>
      </c>
      <c r="D33" s="39">
        <f t="shared" si="7"/>
        <v>1.0140506312789364</v>
      </c>
      <c r="E33" s="39">
        <f t="shared" si="7"/>
        <v>1.0030395330056403</v>
      </c>
      <c r="F33" s="39">
        <f t="shared" si="7"/>
        <v>1.0017433862266147</v>
      </c>
      <c r="G33" s="39">
        <f t="shared" si="7"/>
        <v>0.9998797574898427</v>
      </c>
      <c r="H33" s="39">
        <f t="shared" si="7"/>
        <v>1.0003481122820344</v>
      </c>
      <c r="I33" s="39">
        <f t="shared" si="7"/>
        <v>0.99997469155330587</v>
      </c>
      <c r="J33" s="39" t="str">
        <f t="shared" si="7"/>
        <v/>
      </c>
      <c r="K33" s="39" t="str">
        <f t="shared" si="8"/>
        <v/>
      </c>
      <c r="L33" s="39"/>
      <c r="M33" s="2"/>
    </row>
    <row r="34" spans="1:13" x14ac:dyDescent="0.2">
      <c r="A34" t="str">
        <f t="shared" si="5"/>
        <v>2012</v>
      </c>
      <c r="B34" s="25"/>
      <c r="C34" s="39">
        <f t="shared" si="7"/>
        <v>1.1967792592766862</v>
      </c>
      <c r="D34" s="39">
        <f t="shared" si="7"/>
        <v>1.1816345586789856</v>
      </c>
      <c r="E34" s="39">
        <f t="shared" si="7"/>
        <v>1.0238771580317669</v>
      </c>
      <c r="F34" s="39">
        <f t="shared" si="7"/>
        <v>1.0034405719392314</v>
      </c>
      <c r="G34" s="39">
        <f t="shared" si="7"/>
        <v>1.0015990154922336</v>
      </c>
      <c r="H34" s="39">
        <f t="shared" si="7"/>
        <v>1.0003960844225654</v>
      </c>
      <c r="I34" s="39" t="str">
        <f t="shared" si="7"/>
        <v/>
      </c>
      <c r="J34" s="39" t="str">
        <f t="shared" si="7"/>
        <v/>
      </c>
      <c r="K34" s="39" t="str">
        <f t="shared" si="8"/>
        <v/>
      </c>
      <c r="L34" s="39"/>
      <c r="M34" s="2"/>
    </row>
    <row r="35" spans="1:13" x14ac:dyDescent="0.2">
      <c r="A35" t="str">
        <f t="shared" si="5"/>
        <v>2013</v>
      </c>
      <c r="B35" s="25"/>
      <c r="C35" s="39">
        <f t="shared" si="7"/>
        <v>1.1534369532298181</v>
      </c>
      <c r="D35" s="39">
        <f t="shared" si="7"/>
        <v>1.0538810549014006</v>
      </c>
      <c r="E35" s="39">
        <f t="shared" si="7"/>
        <v>1.0064028916284773</v>
      </c>
      <c r="F35" s="39">
        <f t="shared" si="7"/>
        <v>1.0041495106527623</v>
      </c>
      <c r="G35" s="39">
        <f t="shared" si="7"/>
        <v>1.0000510956830535</v>
      </c>
      <c r="H35" s="39" t="str">
        <f t="shared" si="7"/>
        <v/>
      </c>
      <c r="I35" s="39" t="str">
        <f t="shared" si="7"/>
        <v/>
      </c>
      <c r="J35" s="39" t="str">
        <f t="shared" si="7"/>
        <v/>
      </c>
      <c r="K35" s="39" t="str">
        <f t="shared" si="8"/>
        <v/>
      </c>
      <c r="L35" s="39"/>
      <c r="M35" s="2"/>
    </row>
    <row r="36" spans="1:13" x14ac:dyDescent="0.2">
      <c r="A36" t="str">
        <f t="shared" si="5"/>
        <v>2014</v>
      </c>
      <c r="B36" s="25"/>
      <c r="C36" s="39">
        <f t="shared" si="7"/>
        <v>1.1647758311841754</v>
      </c>
      <c r="D36" s="39">
        <f t="shared" si="7"/>
        <v>1.0376951016000786</v>
      </c>
      <c r="E36" s="39">
        <f t="shared" si="7"/>
        <v>1.0083456836838731</v>
      </c>
      <c r="F36" s="39">
        <f t="shared" si="7"/>
        <v>1.0009902744623853</v>
      </c>
      <c r="G36" s="39" t="str">
        <f t="shared" si="7"/>
        <v/>
      </c>
      <c r="H36" s="39" t="str">
        <f t="shared" si="7"/>
        <v/>
      </c>
      <c r="I36" s="39" t="str">
        <f t="shared" si="7"/>
        <v/>
      </c>
      <c r="J36" s="39" t="str">
        <f t="shared" si="7"/>
        <v/>
      </c>
      <c r="K36" s="39" t="str">
        <f t="shared" si="8"/>
        <v/>
      </c>
      <c r="L36" s="39"/>
      <c r="M36" s="2"/>
    </row>
    <row r="37" spans="1:13" x14ac:dyDescent="0.2">
      <c r="A37" t="str">
        <f t="shared" si="5"/>
        <v>2015</v>
      </c>
      <c r="B37" s="25"/>
      <c r="C37" s="39">
        <f t="shared" si="7"/>
        <v>1.1144402125871684</v>
      </c>
      <c r="D37" s="39">
        <f t="shared" si="7"/>
        <v>1.0210635578905107</v>
      </c>
      <c r="E37" s="39">
        <f t="shared" si="7"/>
        <v>1.0022393677981787</v>
      </c>
      <c r="F37" s="39" t="str">
        <f t="shared" si="7"/>
        <v/>
      </c>
      <c r="G37" s="39" t="str">
        <f t="shared" si="7"/>
        <v/>
      </c>
      <c r="H37" s="39" t="str">
        <f t="shared" si="7"/>
        <v/>
      </c>
      <c r="I37" s="39" t="str">
        <f t="shared" si="7"/>
        <v/>
      </c>
      <c r="J37" s="39" t="str">
        <f t="shared" si="7"/>
        <v/>
      </c>
      <c r="K37" s="39" t="str">
        <f t="shared" si="8"/>
        <v/>
      </c>
      <c r="L37" s="39"/>
      <c r="M37" s="2"/>
    </row>
    <row r="38" spans="1:13" x14ac:dyDescent="0.2">
      <c r="A38" t="str">
        <f t="shared" si="5"/>
        <v>2016</v>
      </c>
      <c r="B38" s="25"/>
      <c r="C38" s="39">
        <f t="shared" si="7"/>
        <v>1.1165005661604683</v>
      </c>
      <c r="D38" s="39">
        <f t="shared" si="7"/>
        <v>1.0111091131410488</v>
      </c>
      <c r="E38" s="39" t="str">
        <f t="shared" si="7"/>
        <v/>
      </c>
      <c r="F38" s="39" t="str">
        <f t="shared" si="7"/>
        <v/>
      </c>
      <c r="G38" s="39" t="str">
        <f t="shared" si="7"/>
        <v/>
      </c>
      <c r="H38" s="39" t="str">
        <f t="shared" si="7"/>
        <v/>
      </c>
      <c r="I38" s="39" t="str">
        <f t="shared" si="7"/>
        <v/>
      </c>
      <c r="J38" s="39" t="str">
        <f t="shared" si="7"/>
        <v/>
      </c>
      <c r="K38" s="39" t="str">
        <f t="shared" si="8"/>
        <v/>
      </c>
      <c r="L38" s="39"/>
      <c r="M38" s="2"/>
    </row>
    <row r="39" spans="1:13" x14ac:dyDescent="0.2">
      <c r="A39" t="str">
        <f t="shared" si="5"/>
        <v>2017</v>
      </c>
      <c r="B39" s="25"/>
      <c r="C39" s="39">
        <f>IF(ISNUMBER(D22),D22/C22,"")</f>
        <v>1.1902556494054088</v>
      </c>
      <c r="D39" s="39" t="str">
        <f t="shared" si="7"/>
        <v/>
      </c>
      <c r="E39" s="39" t="str">
        <f t="shared" si="7"/>
        <v/>
      </c>
      <c r="F39" s="39" t="str">
        <f t="shared" si="7"/>
        <v/>
      </c>
      <c r="G39" s="39" t="str">
        <f t="shared" si="7"/>
        <v/>
      </c>
      <c r="H39" s="39" t="str">
        <f t="shared" si="7"/>
        <v/>
      </c>
      <c r="I39" s="39" t="str">
        <f t="shared" si="7"/>
        <v/>
      </c>
      <c r="J39" s="39" t="str">
        <f t="shared" si="7"/>
        <v/>
      </c>
      <c r="K39" s="39" t="str">
        <f t="shared" si="8"/>
        <v/>
      </c>
      <c r="L39" s="39"/>
      <c r="M39" s="2"/>
    </row>
    <row r="40" spans="1:13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</row>
    <row r="41" spans="1:13" x14ac:dyDescent="0.2">
      <c r="C41" s="19"/>
      <c r="M41" s="2"/>
    </row>
    <row r="42" spans="1:13" x14ac:dyDescent="0.2">
      <c r="A42" t="s">
        <v>72</v>
      </c>
      <c r="B42" s="25"/>
      <c r="C42" s="41">
        <f>AVERAGE(C31:C39)</f>
        <v>1.1379644121321908</v>
      </c>
      <c r="D42" s="41">
        <f t="shared" ref="D42:J42" si="9">AVERAGE(D31:D39)</f>
        <v>1.0438491690223806</v>
      </c>
      <c r="E42" s="41">
        <f t="shared" si="9"/>
        <v>1.0087757717474661</v>
      </c>
      <c r="F42" s="41">
        <f t="shared" si="9"/>
        <v>1.0019032496647957</v>
      </c>
      <c r="G42" s="41">
        <f t="shared" si="9"/>
        <v>1.0003417292366956</v>
      </c>
      <c r="H42" s="41">
        <f t="shared" si="9"/>
        <v>1.0000931118189931</v>
      </c>
      <c r="I42" s="41">
        <f t="shared" si="9"/>
        <v>1.0000353037681402</v>
      </c>
      <c r="J42" s="41">
        <f t="shared" si="9"/>
        <v>1.0000212648322204</v>
      </c>
      <c r="K42" s="43">
        <v>1</v>
      </c>
      <c r="M42" s="2"/>
    </row>
    <row r="43" spans="1:13" x14ac:dyDescent="0.2">
      <c r="A43" t="s">
        <v>73</v>
      </c>
      <c r="B43" s="25"/>
      <c r="C43" s="41">
        <f>AVERAGE(C35:C39)</f>
        <v>1.1478818425134079</v>
      </c>
      <c r="D43" s="41">
        <f>AVERAGE(D34:D38)</f>
        <v>1.0610766772424047</v>
      </c>
      <c r="E43" s="41">
        <f>AVERAGE(E33:E37)</f>
        <v>1.0087809268295873</v>
      </c>
      <c r="F43" s="41">
        <f>AVERAGE(F32:F36)</f>
        <v>1.0021490244282734</v>
      </c>
      <c r="G43" s="41">
        <f>AVERAGE(G31:G35)</f>
        <v>1.0003417292366956</v>
      </c>
      <c r="H43" s="41">
        <f>AVERAGE(H31:H34)</f>
        <v>1.0000931118189931</v>
      </c>
      <c r="I43" s="41">
        <f>AVERAGE(I31:I33)</f>
        <v>1.0000353037681402</v>
      </c>
      <c r="J43" s="41">
        <f>AVERAGE(J31:J32)</f>
        <v>1.0000212648322204</v>
      </c>
      <c r="M43" s="2"/>
    </row>
    <row r="44" spans="1:13" x14ac:dyDescent="0.2">
      <c r="A44" t="s">
        <v>270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2"/>
    </row>
    <row r="45" spans="1:13" x14ac:dyDescent="0.2">
      <c r="A45" t="s">
        <v>74</v>
      </c>
      <c r="C45" s="42">
        <f>AVERAGE(C42,C44)</f>
        <v>1.1379644121321908</v>
      </c>
      <c r="D45" s="42">
        <f t="shared" ref="D45:J45" si="10">AVERAGE(D42,D44)</f>
        <v>1.0438491690223806</v>
      </c>
      <c r="E45" s="42">
        <f t="shared" si="10"/>
        <v>1.0087757717474661</v>
      </c>
      <c r="F45" s="42">
        <f t="shared" si="10"/>
        <v>1.0019032496647957</v>
      </c>
      <c r="G45" s="42">
        <f t="shared" si="10"/>
        <v>1.0003417292366956</v>
      </c>
      <c r="H45" s="42">
        <f t="shared" si="10"/>
        <v>1.0000931118189931</v>
      </c>
      <c r="I45" s="42">
        <f t="shared" si="10"/>
        <v>1.0000353037681402</v>
      </c>
      <c r="J45" s="42">
        <f t="shared" si="10"/>
        <v>1.0000212648322204</v>
      </c>
      <c r="K45" s="42">
        <f>AVERAGE(K42,K44)</f>
        <v>1</v>
      </c>
      <c r="L45" s="42"/>
      <c r="M45" s="2"/>
    </row>
    <row r="46" spans="1:13" x14ac:dyDescent="0.2">
      <c r="A46" t="s">
        <v>75</v>
      </c>
      <c r="C46" s="36">
        <f>ROUND(C45*D46,3)</f>
        <v>1.2010000000000001</v>
      </c>
      <c r="D46" s="43">
        <f t="shared" ref="D46:J46" si="11">ROUND(D45*E46,3)</f>
        <v>1.0549999999999999</v>
      </c>
      <c r="E46" s="43">
        <f>ROUND(E45*F46,3)</f>
        <v>1.0109999999999999</v>
      </c>
      <c r="F46" s="43">
        <f t="shared" si="11"/>
        <v>1.002</v>
      </c>
      <c r="G46" s="43">
        <f t="shared" si="11"/>
        <v>1</v>
      </c>
      <c r="H46" s="43">
        <f t="shared" si="11"/>
        <v>1</v>
      </c>
      <c r="I46" s="43">
        <f t="shared" si="11"/>
        <v>1</v>
      </c>
      <c r="J46" s="43">
        <f t="shared" si="11"/>
        <v>1</v>
      </c>
      <c r="K46" s="41">
        <f>K45</f>
        <v>1</v>
      </c>
      <c r="L46" s="41"/>
      <c r="M46" s="2"/>
    </row>
    <row r="47" spans="1:13" x14ac:dyDescent="0.2">
      <c r="C47" s="43"/>
      <c r="D47" s="43"/>
      <c r="E47" s="43"/>
      <c r="F47" s="43"/>
      <c r="G47" s="43"/>
      <c r="H47" s="43"/>
      <c r="I47" s="43"/>
      <c r="J47" s="43"/>
      <c r="K47" s="43"/>
      <c r="L47" s="50"/>
      <c r="M47" s="2"/>
    </row>
    <row r="48" spans="1:13" x14ac:dyDescent="0.2">
      <c r="A48" t="s">
        <v>352</v>
      </c>
      <c r="C48" s="43">
        <f>C46</f>
        <v>1.2010000000000001</v>
      </c>
      <c r="D48" s="43">
        <f t="shared" ref="D48:K48" si="12">D46</f>
        <v>1.0549999999999999</v>
      </c>
      <c r="E48" s="43">
        <f t="shared" si="12"/>
        <v>1.0109999999999999</v>
      </c>
      <c r="F48" s="43">
        <f t="shared" si="12"/>
        <v>1.002</v>
      </c>
      <c r="G48" s="43">
        <f t="shared" si="12"/>
        <v>1</v>
      </c>
      <c r="H48" s="43">
        <f t="shared" si="12"/>
        <v>1</v>
      </c>
      <c r="I48" s="43">
        <f t="shared" si="12"/>
        <v>1</v>
      </c>
      <c r="J48" s="43">
        <f t="shared" si="12"/>
        <v>1</v>
      </c>
      <c r="K48" s="43">
        <f t="shared" si="12"/>
        <v>1</v>
      </c>
      <c r="M48" s="2"/>
    </row>
    <row r="49" spans="1:13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M49" s="2"/>
    </row>
    <row r="50" spans="1:13" ht="12" thickTop="1" x14ac:dyDescent="0.2">
      <c r="A50" t="s">
        <v>18</v>
      </c>
      <c r="M50" s="2"/>
    </row>
    <row r="51" spans="1:13" x14ac:dyDescent="0.2">
      <c r="B51" s="22" t="str">
        <f>"Provided by TICO.  Accident years ending "&amp;TEXT($N$23,"m/d/xx")</f>
        <v>Provided by TICO.  Accident years ending 9/30/xx</v>
      </c>
      <c r="M51" s="2"/>
    </row>
    <row r="52" spans="1:13" ht="12" thickBot="1" x14ac:dyDescent="0.25">
      <c r="M52" s="2"/>
    </row>
    <row r="53" spans="1:13" ht="12" thickBot="1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/>
    </row>
  </sheetData>
  <pageMargins left="0.5" right="0.5" top="0.5" bottom="0.5" header="0.5" footer="0.5"/>
  <pageSetup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DA0B-08EF-43CA-81A8-47FB57EFB6FA}">
  <sheetPr>
    <pageSetUpPr fitToPage="1"/>
  </sheetPr>
  <dimension ref="A1:I56"/>
  <sheetViews>
    <sheetView zoomScaleNormal="100" workbookViewId="0">
      <selection activeCell="K15" sqref="K15"/>
    </sheetView>
  </sheetViews>
  <sheetFormatPr defaultRowHeight="11.25" x14ac:dyDescent="0.2"/>
  <cols>
    <col min="1" max="1" width="66.5" bestFit="1" customWidth="1"/>
    <col min="2" max="2" width="1.83203125" customWidth="1"/>
    <col min="3" max="3" width="53.1640625" bestFit="1" customWidth="1"/>
    <col min="4" max="4" width="2.5" customWidth="1"/>
    <col min="6" max="6" width="1.1640625" style="50" customWidth="1"/>
    <col min="8" max="8" width="1.6640625" style="50" customWidth="1"/>
    <col min="9" max="9" width="15.6640625" style="25" bestFit="1" customWidth="1"/>
  </cols>
  <sheetData>
    <row r="1" spans="1:9" x14ac:dyDescent="0.2">
      <c r="A1" s="8" t="s">
        <v>0</v>
      </c>
    </row>
    <row r="2" spans="1:9" x14ac:dyDescent="0.2">
      <c r="A2" s="8" t="s">
        <v>1</v>
      </c>
    </row>
    <row r="3" spans="1:9" x14ac:dyDescent="0.2">
      <c r="A3" s="8" t="s">
        <v>2</v>
      </c>
    </row>
    <row r="4" spans="1:9" x14ac:dyDescent="0.2">
      <c r="A4" s="8"/>
    </row>
    <row r="5" spans="1:9" x14ac:dyDescent="0.2">
      <c r="A5" s="344" t="s">
        <v>371</v>
      </c>
      <c r="B5" s="344"/>
      <c r="C5" s="344"/>
      <c r="D5" s="344"/>
      <c r="E5" s="344"/>
      <c r="F5" s="344"/>
      <c r="G5" s="344"/>
      <c r="H5" s="344"/>
      <c r="I5" s="344"/>
    </row>
    <row r="6" spans="1:9" x14ac:dyDescent="0.2">
      <c r="A6" s="8"/>
    </row>
    <row r="8" spans="1:9" x14ac:dyDescent="0.2">
      <c r="A8" s="333" t="s">
        <v>372</v>
      </c>
      <c r="C8" s="333" t="s">
        <v>373</v>
      </c>
      <c r="E8" s="333" t="s">
        <v>374</v>
      </c>
      <c r="F8" s="334"/>
      <c r="G8" s="333" t="s">
        <v>375</v>
      </c>
      <c r="H8" s="334"/>
      <c r="I8" s="335" t="s">
        <v>376</v>
      </c>
    </row>
    <row r="9" spans="1:9" x14ac:dyDescent="0.2">
      <c r="A9" t="s">
        <v>3</v>
      </c>
      <c r="C9" t="str">
        <f>'1'!$A$5</f>
        <v>By Method for Projecting Hurricane Loss &amp; LAE</v>
      </c>
      <c r="E9" t="str">
        <f>'1'!$K$1</f>
        <v>Exhibit 1</v>
      </c>
      <c r="G9" s="336"/>
      <c r="H9" s="337"/>
      <c r="I9" s="25">
        <v>1</v>
      </c>
    </row>
    <row r="10" spans="1:9" x14ac:dyDescent="0.2">
      <c r="A10" t="str">
        <f>'2.1'!$A$4</f>
        <v>Projected Ultimate Non-Hurricane Loss &amp; LAE Ratio</v>
      </c>
      <c r="C10" t="str">
        <f>'2.1'!$A$5</f>
        <v>All Territory Weighted Average</v>
      </c>
      <c r="E10" t="str">
        <f>'2.1'!$J$1</f>
        <v>Exhibit 2</v>
      </c>
      <c r="G10" t="str">
        <f>'2.1'!$J$2</f>
        <v>Sheet 1</v>
      </c>
      <c r="I10" s="25">
        <v>2.1</v>
      </c>
    </row>
    <row r="11" spans="1:9" x14ac:dyDescent="0.2">
      <c r="A11" t="str">
        <f>'2.2a'!$A$4</f>
        <v>Projected Ultimate Non-Hurricane Loss &amp; LAE Ratio based on TWIA experience</v>
      </c>
      <c r="C11" t="str">
        <f>'2.2a'!$A$5</f>
        <v>Tier 1 -- Territory 8 (Galveston County)</v>
      </c>
      <c r="E11" t="str">
        <f>'2.2a'!$J$1</f>
        <v>Exhibit 2</v>
      </c>
      <c r="G11" t="str">
        <f>'2.2a'!$J$2</f>
        <v>Sheet 2a</v>
      </c>
      <c r="I11" s="25" t="s">
        <v>377</v>
      </c>
    </row>
    <row r="12" spans="1:9" x14ac:dyDescent="0.2">
      <c r="A12" t="str">
        <f>'2.2b'!$A$4</f>
        <v>Projected Ultimate Non-Hurricane Loss &amp; LAE Ratio based on TWIA experience</v>
      </c>
      <c r="C12" t="str">
        <f>'2.2b'!$A$5</f>
        <v>Tier 1 -- Territory 9 (Nueces County)</v>
      </c>
      <c r="E12" t="str">
        <f>'2.2b'!$J$1</f>
        <v>Exhibit 2</v>
      </c>
      <c r="G12" t="str">
        <f>'2.2b'!$J$2</f>
        <v>Sheet 2b</v>
      </c>
      <c r="I12" s="25" t="s">
        <v>378</v>
      </c>
    </row>
    <row r="13" spans="1:9" x14ac:dyDescent="0.2">
      <c r="A13" t="str">
        <f>'2.3a'!$A$4</f>
        <v>Projected Ultimate Non-Hurricane Loss</v>
      </c>
      <c r="C13" t="str">
        <f>'2.2c'!$A$5</f>
        <v>Tier 1 -- Territory 10 (Other Tier 1)</v>
      </c>
      <c r="E13" t="str">
        <f>'2.2c'!$J$1</f>
        <v>Exhibit 2</v>
      </c>
      <c r="G13" t="str">
        <f>'2.2c'!$J$2</f>
        <v>Sheet 2c</v>
      </c>
      <c r="I13" s="25" t="s">
        <v>379</v>
      </c>
    </row>
    <row r="14" spans="1:9" x14ac:dyDescent="0.2">
      <c r="A14" t="str">
        <f>'2.2d'!$A$4</f>
        <v>Projected Ultimate Non-Hurricane Loss &amp; LAE Ratio based on TWIA experience</v>
      </c>
      <c r="C14" t="str">
        <f>'2.2d'!$A$5</f>
        <v>Tier 2 -- (Territories 1)</v>
      </c>
      <c r="E14" t="str">
        <f>'2.2d'!$J$1</f>
        <v>Exhibit 2</v>
      </c>
      <c r="G14" t="str">
        <f>'2.2d'!$J$2</f>
        <v>Sheet 2d</v>
      </c>
      <c r="I14" s="25" t="s">
        <v>380</v>
      </c>
    </row>
    <row r="15" spans="1:9" x14ac:dyDescent="0.2">
      <c r="A15" t="str">
        <f>'2.3a'!$A$4</f>
        <v>Projected Ultimate Non-Hurricane Loss</v>
      </c>
      <c r="C15" t="str">
        <f>'2.3a'!$A$5</f>
        <v>Tier 1 -- Territory 8 (Galveston County)</v>
      </c>
      <c r="E15" t="str">
        <f>'2.3a'!$J$1</f>
        <v>Exhibit 2</v>
      </c>
      <c r="G15" t="str">
        <f>'2.3a'!$J$2</f>
        <v>Sheet 3a</v>
      </c>
      <c r="I15" s="25" t="s">
        <v>381</v>
      </c>
    </row>
    <row r="16" spans="1:9" x14ac:dyDescent="0.2">
      <c r="A16" t="str">
        <f>'2.3b'!$A$4</f>
        <v>Projected Ultimate Non-Hurricane Loss</v>
      </c>
      <c r="C16" t="str">
        <f>'2.3b'!$A$5</f>
        <v>Tier 1 -- Territory 9 (Nueces County)</v>
      </c>
      <c r="E16" t="str">
        <f>'2.3b'!$J$1</f>
        <v>Exhibit 2</v>
      </c>
      <c r="G16" t="str">
        <f>'2.3b'!$J$2</f>
        <v>Sheet 3b</v>
      </c>
      <c r="I16" s="25" t="s">
        <v>382</v>
      </c>
    </row>
    <row r="17" spans="1:9" x14ac:dyDescent="0.2">
      <c r="A17" t="str">
        <f>'2.3c'!$A$4</f>
        <v>Projected Ultimate Non-Hurricane Loss</v>
      </c>
      <c r="C17" t="str">
        <f>'2.3c'!$A$5</f>
        <v>Tier 1 -- Territory 10 (Other Tier 1)</v>
      </c>
      <c r="E17" t="str">
        <f>'2.3c'!$J$1</f>
        <v>Exhibit 2</v>
      </c>
      <c r="G17" t="str">
        <f>'2.3c'!$J$2</f>
        <v>Sheet 3c</v>
      </c>
      <c r="I17" s="25" t="s">
        <v>383</v>
      </c>
    </row>
    <row r="18" spans="1:9" x14ac:dyDescent="0.2">
      <c r="A18" t="str">
        <f>'2.3d'!$A$4</f>
        <v>Projected Ultimate Non-Hurricane Loss</v>
      </c>
      <c r="C18" t="str">
        <f>'2.3d'!$A$5</f>
        <v>Tier 2 -- (Territories 1 )</v>
      </c>
      <c r="E18" t="str">
        <f>'2.3d'!$J$1</f>
        <v>Exhibit 2</v>
      </c>
      <c r="G18" t="str">
        <f>'2.3d'!$J$2</f>
        <v>Sheet 3d</v>
      </c>
      <c r="I18" s="25" t="s">
        <v>384</v>
      </c>
    </row>
    <row r="19" spans="1:9" x14ac:dyDescent="0.2">
      <c r="A19" t="str">
        <f>'2.4a'!$A$4</f>
        <v>Summary of TWIA Historical Paid Loss as of 12/31/18</v>
      </c>
      <c r="C19" t="str">
        <f>'2.4a'!$A$5</f>
        <v>Tier 1 -- Territory 8 (Galveston County)</v>
      </c>
      <c r="E19" t="str">
        <f>'2.4a'!$J$1</f>
        <v>Exhibit 2</v>
      </c>
      <c r="G19" t="str">
        <f>'2.4a'!$J$2</f>
        <v>Sheet 4a</v>
      </c>
      <c r="I19" s="25" t="s">
        <v>385</v>
      </c>
    </row>
    <row r="20" spans="1:9" x14ac:dyDescent="0.2">
      <c r="A20" t="str">
        <f>'2.4b'!$A$4</f>
        <v>Summary of TWIA Historical Paid Loss as of 12/31/18</v>
      </c>
      <c r="C20" t="str">
        <f>'2.4b'!$A$5</f>
        <v>Tier 1 -- Territory 9 (Nueces County)</v>
      </c>
      <c r="E20" t="str">
        <f>'2.4b'!$J$1</f>
        <v>Exhibit 2</v>
      </c>
      <c r="G20" t="str">
        <f>'2.4b'!$J$2</f>
        <v>Sheet 4b</v>
      </c>
      <c r="I20" s="25" t="s">
        <v>386</v>
      </c>
    </row>
    <row r="21" spans="1:9" x14ac:dyDescent="0.2">
      <c r="A21" t="str">
        <f>'2.4c'!$A$4</f>
        <v>Summary of TWIA Historical Paid Loss as of 12/31/18</v>
      </c>
      <c r="C21" t="str">
        <f>'2.4c'!$A$5</f>
        <v>Tier 1 -- Territory 10 (Other Tier 1)</v>
      </c>
      <c r="E21" t="str">
        <f>'2.4c'!$J$1</f>
        <v>Exhibit 2</v>
      </c>
      <c r="G21" t="str">
        <f>'2.4c'!$J$2</f>
        <v>Sheet 4c</v>
      </c>
      <c r="I21" s="25" t="s">
        <v>387</v>
      </c>
    </row>
    <row r="22" spans="1:9" x14ac:dyDescent="0.2">
      <c r="A22" t="str">
        <f>'2.4d'!$A$4</f>
        <v>Summary of TWIA Historical Paid Loss as of 12/31/18</v>
      </c>
      <c r="C22" t="str">
        <f>'2.4d'!$A$5</f>
        <v>Tier 2 -- (Territories 1)</v>
      </c>
      <c r="E22" t="str">
        <f>'2.4d'!$J$1</f>
        <v>Exhibit 2</v>
      </c>
      <c r="G22" t="str">
        <f>'2.4d'!$J$2</f>
        <v>Sheet 4d</v>
      </c>
      <c r="I22" s="25" t="s">
        <v>388</v>
      </c>
    </row>
    <row r="23" spans="1:9" x14ac:dyDescent="0.2">
      <c r="A23" t="str">
        <f>'trend 2.5'!$A$4</f>
        <v>Calculation of Net Trend Factors</v>
      </c>
      <c r="C23" s="324"/>
      <c r="E23" t="str">
        <f>'trend 2.5'!$L$1</f>
        <v>Exhibit 2</v>
      </c>
      <c r="G23" t="str">
        <f>'trend 2.5'!$L$2</f>
        <v>Sheet 5</v>
      </c>
      <c r="I23" s="25" t="s">
        <v>389</v>
      </c>
    </row>
    <row r="24" spans="1:9" x14ac:dyDescent="0.2">
      <c r="A24" t="str">
        <f>'ldf 3.1a'!$A$4</f>
        <v>Paid Loss Development Factors</v>
      </c>
      <c r="C24" t="str">
        <f>'ldf 3.1a'!$A$5</f>
        <v>Statewide Industry Extended Coverage Dwelling Paid Loss</v>
      </c>
      <c r="E24" t="str">
        <f>'ldf 3.1a'!$L$1</f>
        <v>Exhibit 3</v>
      </c>
      <c r="G24" t="str">
        <f>'ldf 3.1a'!$L$2</f>
        <v>Sheet 1</v>
      </c>
      <c r="I24" s="25" t="s">
        <v>390</v>
      </c>
    </row>
    <row r="25" spans="1:9" x14ac:dyDescent="0.2">
      <c r="A25" t="str">
        <f>'ldf 3.1b'!$A$4</f>
        <v>Incurred Loss Development Factors</v>
      </c>
      <c r="C25" t="str">
        <f>'ldf 3.1b'!$A$5</f>
        <v>Statewide Industry Extended Coverage Dwelling Paid Loss</v>
      </c>
      <c r="E25" t="str">
        <f>'ldf 3.1b'!$L$1</f>
        <v>Exhibit 3</v>
      </c>
      <c r="G25" t="str">
        <f>'ldf 3.1b'!$L$2</f>
        <v>Sheet 1</v>
      </c>
      <c r="I25" s="25" t="s">
        <v>391</v>
      </c>
    </row>
    <row r="26" spans="1:9" x14ac:dyDescent="0.2">
      <c r="A26" t="str">
        <f>'3.2 premium trend'!$A$4</f>
        <v>Premium Trend Analysis</v>
      </c>
      <c r="C26" t="str">
        <f>'3.2 premium trend'!$A$5</f>
        <v>TWIA Residential Earned Premium at Present Rates</v>
      </c>
      <c r="I26" s="25" t="s">
        <v>392</v>
      </c>
    </row>
    <row r="27" spans="1:9" x14ac:dyDescent="0.2">
      <c r="A27" t="str">
        <f>'3.3a'!$A$4</f>
        <v>Loss Trend Analysis</v>
      </c>
      <c r="C27" t="str">
        <f>'3.3a'!$A$5</f>
        <v>Summary of Indices and Calculation of Prospective Loss Costs</v>
      </c>
      <c r="E27" t="str">
        <f>'3.3a'!$L$1</f>
        <v>Exhibit 3</v>
      </c>
      <c r="G27" t="str">
        <f>'3.3a'!$L$2</f>
        <v>Sheet 3a</v>
      </c>
      <c r="I27" s="25" t="s">
        <v>393</v>
      </c>
    </row>
    <row r="28" spans="1:9" x14ac:dyDescent="0.2">
      <c r="A28" t="str">
        <f>'3.3b'!$A$4</f>
        <v>Loss Trend Analysis</v>
      </c>
      <c r="C28" t="str">
        <f>'3.3b'!$A$5</f>
        <v>Boeckh Residential Construction Index Trend (Statewide)</v>
      </c>
      <c r="E28" t="str">
        <f>'3.3b'!$L$1</f>
        <v>Exhibit 3</v>
      </c>
      <c r="G28" t="str">
        <f>'3.3b'!$L$2</f>
        <v>Sheet 3b</v>
      </c>
      <c r="I28" s="25" t="s">
        <v>394</v>
      </c>
    </row>
    <row r="29" spans="1:9" x14ac:dyDescent="0.2">
      <c r="A29" t="str">
        <f>'3.3c'!$A$4</f>
        <v>Loss Trend Analysis</v>
      </c>
      <c r="C29" t="str">
        <f>'3.3c'!$A$5</f>
        <v>Boeckh Residential Construction Index Trend (Coastal)</v>
      </c>
      <c r="E29" t="str">
        <f>'3.3c'!$L$1</f>
        <v>Exhibit 3</v>
      </c>
      <c r="G29" t="str">
        <f>'3.3c'!$L$2</f>
        <v>Sheet 3c</v>
      </c>
      <c r="I29" s="25" t="s">
        <v>395</v>
      </c>
    </row>
    <row r="30" spans="1:9" x14ac:dyDescent="0.2">
      <c r="A30" t="str">
        <f>'3.3d'!$A$4</f>
        <v>Loss Trend Analysis</v>
      </c>
      <c r="C30" t="str">
        <f>'3.3d'!$A$5</f>
        <v>Modified Consumer Price Index - External Trend</v>
      </c>
      <c r="E30" t="str">
        <f>'3.3d'!$L$1</f>
        <v>Exhibit 3</v>
      </c>
      <c r="G30" t="str">
        <f>'3.3d'!$L$2</f>
        <v>Sheet 3d</v>
      </c>
      <c r="I30" s="25" t="s">
        <v>396</v>
      </c>
    </row>
    <row r="31" spans="1:9" x14ac:dyDescent="0.2">
      <c r="A31" t="str">
        <f>'4.1'!$A$4</f>
        <v>Development of LAE factor Using TWIA Commercial + Residential Experience</v>
      </c>
      <c r="C31" s="336"/>
      <c r="E31" t="str">
        <f>+'4.1'!J1</f>
        <v>Exhibit 4</v>
      </c>
      <c r="G31" t="str">
        <f>+'4.1'!J2</f>
        <v>Sheet 1</v>
      </c>
      <c r="I31" s="25">
        <v>4.0999999999999996</v>
      </c>
    </row>
    <row r="32" spans="1:9" x14ac:dyDescent="0.2">
      <c r="A32" t="str">
        <f>'4.2'!$A$4</f>
        <v>Ultimate Loss (TWIA All Lines)</v>
      </c>
      <c r="C32" s="336"/>
      <c r="E32" t="str">
        <f>+'4.2'!K1</f>
        <v>Exhibit 4</v>
      </c>
      <c r="G32" t="str">
        <f>+'4.2'!K2</f>
        <v>Sheet 2</v>
      </c>
      <c r="I32" s="25">
        <v>4.2</v>
      </c>
    </row>
    <row r="33" spans="1:9" x14ac:dyDescent="0.2">
      <c r="A33" t="str">
        <f>+'4.3AS loss Dev'!A4</f>
        <v>Incurred Loss Development Factors</v>
      </c>
      <c r="C33" t="str">
        <f>+'4.3AS loss Dev'!A5</f>
        <v>TWIA Schedule P Incurred Loss (Including IBNR)</v>
      </c>
      <c r="E33" t="str">
        <f>+'4.3AS loss Dev'!K1</f>
        <v>Exhibit 4</v>
      </c>
      <c r="G33" t="str">
        <f>+'4.3AS loss Dev'!K2</f>
        <v>Sheet 3</v>
      </c>
      <c r="I33" s="25" t="s">
        <v>397</v>
      </c>
    </row>
    <row r="34" spans="1:9" x14ac:dyDescent="0.2">
      <c r="A34" t="str">
        <f>+'4.4'!A4</f>
        <v>Ultimate LAE (TWIA All Lines)</v>
      </c>
      <c r="C34" s="336"/>
      <c r="E34" t="str">
        <f>+'4.4'!J1</f>
        <v>Exhibit 4</v>
      </c>
      <c r="G34" t="str">
        <f>+'4.4'!J2</f>
        <v>Sheet 4</v>
      </c>
      <c r="I34" s="25">
        <v>4.4000000000000004</v>
      </c>
    </row>
    <row r="35" spans="1:9" x14ac:dyDescent="0.2">
      <c r="A35" t="str">
        <f>+'4.5AS LAE Dev'!A4</f>
        <v>Incurred ALAE Development Factors</v>
      </c>
      <c r="C35" t="str">
        <f>+'4.5AS LAE Dev'!A5</f>
        <v>TWIA Schedule P Incurred ALAE (Including IBNR)</v>
      </c>
      <c r="E35" t="str">
        <f>+'4.5AS LAE Dev'!K1</f>
        <v>Exhibit 4</v>
      </c>
      <c r="G35" t="str">
        <f>+'4.5AS LAE Dev'!K2</f>
        <v>Sheet 5</v>
      </c>
      <c r="I35" s="25" t="s">
        <v>398</v>
      </c>
    </row>
    <row r="36" spans="1:9" x14ac:dyDescent="0.2">
      <c r="A36" t="str">
        <f>+'5'!A4</f>
        <v>Summary of Indicated Hurricane Loss &amp; LAE Ratios</v>
      </c>
      <c r="C36" s="336"/>
      <c r="E36" t="str">
        <f>+'5'!H1</f>
        <v>Exhibit 5</v>
      </c>
      <c r="G36" s="336"/>
      <c r="H36" s="337"/>
      <c r="I36" s="25">
        <v>5</v>
      </c>
    </row>
    <row r="37" spans="1:9" x14ac:dyDescent="0.2">
      <c r="A37" t="str">
        <f>+'6.1'!A4</f>
        <v>Industry Experience -- Residential Extended Coverage</v>
      </c>
      <c r="C37" t="str">
        <f>+'6.1'!A5</f>
        <v>1966 - 2018 -- Hurricane Years Only</v>
      </c>
      <c r="E37" t="str">
        <f>+'6.1'!K1</f>
        <v>Exhibit 6</v>
      </c>
      <c r="G37" t="str">
        <f>+'6.1'!K2</f>
        <v>Sheet 1</v>
      </c>
      <c r="I37" s="25">
        <v>6.1</v>
      </c>
    </row>
    <row r="38" spans="1:9" x14ac:dyDescent="0.2">
      <c r="A38" t="str">
        <f>+'6.2'!A4</f>
        <v>Industry Experience -- Residential Extended Coverage</v>
      </c>
      <c r="C38" t="str">
        <f>+'6.2'!A5</f>
        <v>1966 - 2018</v>
      </c>
      <c r="E38" t="str">
        <f>+'6.2'!J1</f>
        <v>Exhibit 6</v>
      </c>
      <c r="G38" t="str">
        <f>+'6.2'!J2</f>
        <v>Sheet 2</v>
      </c>
      <c r="I38" s="25">
        <v>6.2</v>
      </c>
    </row>
    <row r="39" spans="1:9" x14ac:dyDescent="0.2">
      <c r="A39" t="str">
        <f>+'6.3'!A4</f>
        <v>Industry Experience -- Residential Extended Coverage</v>
      </c>
      <c r="I39" s="25">
        <v>6.3</v>
      </c>
    </row>
    <row r="40" spans="1:9" x14ac:dyDescent="0.2">
      <c r="A40" t="str">
        <f>'6.4'!$A$4</f>
        <v>Industry Experience -- Residential Extended Coverage</v>
      </c>
      <c r="C40" t="str">
        <f>+'6.4'!A5</f>
        <v>Tier 1 -- Territory 8 (Galveston County)</v>
      </c>
      <c r="E40" t="str">
        <f>+'6.4'!I1</f>
        <v>Exhibit 6</v>
      </c>
      <c r="G40" t="str">
        <f>+'6.4'!I2</f>
        <v>Sheet 4</v>
      </c>
      <c r="I40" s="25">
        <v>6.4</v>
      </c>
    </row>
    <row r="41" spans="1:9" x14ac:dyDescent="0.2">
      <c r="A41" t="str">
        <f>+'6.5'!A4</f>
        <v>Industry Experience -- Residential Extended Coverage</v>
      </c>
      <c r="C41" t="str">
        <f>+'6.5'!A5</f>
        <v>Tier 1 -- Territory 9 (Nueces County)</v>
      </c>
      <c r="E41" t="str">
        <f>+'6.5'!I1</f>
        <v>Exhibit 6</v>
      </c>
      <c r="G41" t="str">
        <f>+'6.5'!I2</f>
        <v>Sheet 5</v>
      </c>
      <c r="I41" s="25">
        <v>6.5</v>
      </c>
    </row>
    <row r="42" spans="1:9" x14ac:dyDescent="0.2">
      <c r="A42" t="str">
        <f>+'6.5'!A4</f>
        <v>Industry Experience -- Residential Extended Coverage</v>
      </c>
      <c r="C42" t="str">
        <f>+'6.6'!A5</f>
        <v>Tier 1 -- Territory 10 (Other Tier 1)</v>
      </c>
      <c r="E42" t="str">
        <f>+'6.6'!I1</f>
        <v>Exhibit 6</v>
      </c>
      <c r="G42" t="str">
        <f>+'6.6'!I2</f>
        <v>Sheet 6</v>
      </c>
      <c r="I42" s="25">
        <v>6.6</v>
      </c>
    </row>
    <row r="43" spans="1:9" x14ac:dyDescent="0.2">
      <c r="A43" t="str">
        <f>+'6.7'!A4</f>
        <v>Industry Experience -- Residential Extended Coverage</v>
      </c>
      <c r="C43" t="str">
        <f>+'6.7'!A5</f>
        <v>Tier 2 -- (Territories 1 and 11)</v>
      </c>
      <c r="E43" t="str">
        <f>+'6.7'!I1</f>
        <v>Exhibit 6</v>
      </c>
      <c r="G43" t="str">
        <f>+'6.7'!I2</f>
        <v>Sheet 7</v>
      </c>
      <c r="I43" s="25">
        <v>6.7</v>
      </c>
    </row>
    <row r="44" spans="1:9" x14ac:dyDescent="0.2">
      <c r="A44" t="str">
        <f>+'7.1'!A4</f>
        <v>Hurricane Loss Ratio -- AIR Model</v>
      </c>
      <c r="E44" t="str">
        <f>+'7.1'!K1</f>
        <v>Exhibit 7</v>
      </c>
      <c r="G44" t="str">
        <f>+'7.1'!K2</f>
        <v>Sheet 1</v>
      </c>
      <c r="I44" s="25">
        <v>7.1</v>
      </c>
    </row>
    <row r="45" spans="1:9" x14ac:dyDescent="0.2">
      <c r="A45" t="str">
        <f>+'7.2'!A4</f>
        <v>AIR Simulated Hurricane Results</v>
      </c>
      <c r="E45" t="str">
        <f>+'7.2'!K1</f>
        <v>Exhibit 7</v>
      </c>
      <c r="G45" t="str">
        <f>+'7.2'!K2</f>
        <v>Sheet 2</v>
      </c>
      <c r="I45" s="25">
        <v>7.2</v>
      </c>
    </row>
    <row r="46" spans="1:9" x14ac:dyDescent="0.2">
      <c r="A46" t="str">
        <f>+'8.1'!A4</f>
        <v>Hurricane Loss Ratio -- RMS Model</v>
      </c>
      <c r="E46" t="str">
        <f>+'8.1'!K1</f>
        <v>Exhibit 8</v>
      </c>
      <c r="G46" t="str">
        <f>+'8.1'!K2</f>
        <v>Sheet 1</v>
      </c>
      <c r="I46" s="25">
        <v>8.1</v>
      </c>
    </row>
    <row r="47" spans="1:9" x14ac:dyDescent="0.2">
      <c r="A47" t="str">
        <f>+'8.2'!A4</f>
        <v>RMS Simulated Hurricane Results</v>
      </c>
      <c r="E47" t="str">
        <f>+'8.2'!K1</f>
        <v>Exhibit 8</v>
      </c>
      <c r="G47" t="str">
        <f>+'8.2'!K2</f>
        <v>Sheet 2</v>
      </c>
      <c r="I47" s="25">
        <v>8.1999999999999993</v>
      </c>
    </row>
    <row r="48" spans="1:9" x14ac:dyDescent="0.2">
      <c r="A48" t="str">
        <f>+'9'!A4</f>
        <v>Texas Hurricanes 1850 - 2018</v>
      </c>
      <c r="E48" t="str">
        <f>+'9'!J1</f>
        <v>Exhibit 9</v>
      </c>
      <c r="G48" s="336"/>
      <c r="H48" s="337"/>
      <c r="I48" s="25">
        <v>9</v>
      </c>
    </row>
    <row r="49" spans="1:9" x14ac:dyDescent="0.2">
      <c r="A49" t="str">
        <f>+'10.1a'!A4</f>
        <v>Calculation of TWIA Earned Premium at Present Rate Level</v>
      </c>
      <c r="C49" t="str">
        <f>+'10.1a'!A5</f>
        <v>Tier 1 -- Territory 8 (Galveston County)</v>
      </c>
      <c r="E49" t="str">
        <f>+'10.1a'!J1</f>
        <v>Exhibit 10</v>
      </c>
      <c r="G49" t="str">
        <f>+'10.1a'!J2</f>
        <v>Sheet 1a</v>
      </c>
      <c r="I49" s="25" t="s">
        <v>399</v>
      </c>
    </row>
    <row r="50" spans="1:9" x14ac:dyDescent="0.2">
      <c r="A50" t="str">
        <f>+'10.1b'!A4</f>
        <v>Calculation of TWIA Earned Premium at Present Rate Level</v>
      </c>
      <c r="C50" t="str">
        <f>+'10.1b'!A5</f>
        <v>Tier 1 -- Territory 9 (Nueces County)</v>
      </c>
      <c r="E50" t="str">
        <f>+'10.1b'!J1</f>
        <v>Exhibit 10</v>
      </c>
      <c r="G50" t="str">
        <f>+'10.1b'!J2</f>
        <v>Sheet 1b</v>
      </c>
      <c r="I50" s="25" t="s">
        <v>400</v>
      </c>
    </row>
    <row r="51" spans="1:9" x14ac:dyDescent="0.2">
      <c r="A51" t="str">
        <f>+'10.1c'!A4</f>
        <v>Calculation of TWIA Earned Premium at Present Rate Level</v>
      </c>
      <c r="C51" t="str">
        <f>+'10.1c'!A5</f>
        <v>Tier 1 -- Territory 10 (Other Tier 1)</v>
      </c>
      <c r="E51" t="str">
        <f>+'10.1c'!J1</f>
        <v>Exhibit 10</v>
      </c>
      <c r="G51" t="str">
        <f>+'10.1c'!J2</f>
        <v>Sheet 1c</v>
      </c>
      <c r="I51" s="25" t="s">
        <v>401</v>
      </c>
    </row>
    <row r="52" spans="1:9" x14ac:dyDescent="0.2">
      <c r="A52" t="str">
        <f>+'10.1d'!A4</f>
        <v>Calculation of TWIA Earned Premium at Present Rate Level</v>
      </c>
      <c r="C52" t="str">
        <f>+'10.1d'!A5</f>
        <v>Tier 2 -- (Territories 1 and 11)</v>
      </c>
      <c r="E52" t="str">
        <f>+'10.1d'!J1</f>
        <v>Exhibit 10</v>
      </c>
      <c r="G52" t="str">
        <f>+'10.1d'!J2</f>
        <v>Sheet 1d</v>
      </c>
      <c r="I52" s="25" t="s">
        <v>402</v>
      </c>
    </row>
    <row r="53" spans="1:9" x14ac:dyDescent="0.2">
      <c r="A53" t="str">
        <f>+'10.2'!A4</f>
        <v>Calculation of TWIA Earned Premium at Present Rate Level</v>
      </c>
      <c r="E53" t="str">
        <f>+'10.2'!J1</f>
        <v>Exhibit 10</v>
      </c>
      <c r="G53" t="str">
        <f>+'10.2'!J2</f>
        <v>Sheet 2</v>
      </c>
      <c r="I53" s="25">
        <v>10.199999999999999</v>
      </c>
    </row>
    <row r="54" spans="1:9" x14ac:dyDescent="0.2">
      <c r="A54" t="str">
        <f>+'11.1'!A4</f>
        <v>Fixed Expenses and Variable Permissible Loss &amp; LAE Ratios</v>
      </c>
      <c r="E54" t="str">
        <f>+'11.1'!J1</f>
        <v>Exhibit 11</v>
      </c>
      <c r="G54" t="str">
        <f>+'11.1'!J2</f>
        <v>Sheet 1</v>
      </c>
      <c r="I54" s="25">
        <v>11.1</v>
      </c>
    </row>
    <row r="55" spans="1:9" x14ac:dyDescent="0.2">
      <c r="A55" t="str">
        <f>+'11.2'!A4</f>
        <v>Development of Reinsurer Expense</v>
      </c>
      <c r="C55" t="str">
        <f>+'11.2'!A5</f>
        <v>Using Average of AIR and  RMS Hurricane Models</v>
      </c>
      <c r="E55" t="str">
        <f>+'11.2'!H1</f>
        <v>Exhibit 11</v>
      </c>
      <c r="G55" t="str">
        <f>+'11.2'!H2</f>
        <v>Sheet 2</v>
      </c>
      <c r="I55" s="25">
        <v>11.2</v>
      </c>
    </row>
    <row r="56" spans="1:9" x14ac:dyDescent="0.2">
      <c r="A56" t="str">
        <f>+'12'!A4</f>
        <v>Reconciliation of Premium Data to Annual Statement</v>
      </c>
      <c r="E56" t="str">
        <f>+'12'!J1</f>
        <v>Exhibit 12</v>
      </c>
      <c r="G56" s="336"/>
      <c r="H56" s="337"/>
      <c r="I56" s="25">
        <v>12</v>
      </c>
    </row>
  </sheetData>
  <mergeCells count="1">
    <mergeCell ref="A5:I5"/>
  </mergeCells>
  <pageMargins left="0.7" right="0.7" top="0.75" bottom="0.75" header="0.3" footer="0.3"/>
  <pageSetup scale="71" orientation="portrait" horizontalDpi="4294967295" verticalDpi="4294967295" r:id="rId1"/>
  <ignoredErrors>
    <ignoredError sqref="A14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1"/>
  <dimension ref="A1:R71"/>
  <sheetViews>
    <sheetView topLeftCell="A11" zoomScaleNormal="100" workbookViewId="0">
      <selection activeCell="G56" sqref="G56"/>
    </sheetView>
  </sheetViews>
  <sheetFormatPr defaultColWidth="11.33203125" defaultRowHeight="11.25" x14ac:dyDescent="0.2"/>
  <cols>
    <col min="1" max="1" width="4.5" style="101" bestFit="1" customWidth="1"/>
    <col min="2" max="2" width="3.5" style="101" customWidth="1"/>
    <col min="3" max="3" width="14.33203125" style="276" customWidth="1"/>
    <col min="4" max="4" width="11.1640625" style="101" bestFit="1" customWidth="1"/>
    <col min="5" max="5" width="7.33203125" style="101" bestFit="1" customWidth="1"/>
    <col min="6" max="6" width="15.83203125" style="101" customWidth="1"/>
    <col min="7" max="7" width="16.5" style="101" customWidth="1"/>
    <col min="8" max="8" width="18.83203125" style="101" customWidth="1"/>
    <col min="9" max="9" width="11.83203125" style="101" customWidth="1"/>
    <col min="10" max="10" width="12.1640625" style="101" customWidth="1"/>
    <col min="11" max="11" width="12" style="101" customWidth="1"/>
    <col min="12" max="12" width="12.6640625" style="101" customWidth="1"/>
    <col min="13" max="16384" width="11.33203125" style="101"/>
  </cols>
  <sheetData>
    <row r="1" spans="1:17" x14ac:dyDescent="0.2">
      <c r="A1" s="8" t="str">
        <f>'1'!$A$1</f>
        <v>Texas Windstorm Insurance Association</v>
      </c>
      <c r="C1" s="11"/>
      <c r="D1"/>
      <c r="E1"/>
      <c r="F1"/>
      <c r="G1"/>
      <c r="H1"/>
      <c r="L1" s="7" t="s">
        <v>68</v>
      </c>
      <c r="M1" s="1"/>
    </row>
    <row r="2" spans="1:17" x14ac:dyDescent="0.2">
      <c r="A2" s="8" t="str">
        <f>'1'!$A$2</f>
        <v>Residential Property - Wind &amp; Hail</v>
      </c>
      <c r="C2" s="11"/>
      <c r="D2"/>
      <c r="E2"/>
      <c r="F2"/>
      <c r="G2"/>
      <c r="H2"/>
      <c r="L2" s="7" t="s">
        <v>86</v>
      </c>
      <c r="M2" s="2"/>
    </row>
    <row r="3" spans="1:17" x14ac:dyDescent="0.2">
      <c r="A3" s="8" t="str">
        <f>'1'!$A$3</f>
        <v>Rate Level Review</v>
      </c>
      <c r="C3" s="11"/>
      <c r="D3"/>
      <c r="E3"/>
      <c r="F3"/>
      <c r="G3"/>
      <c r="H3"/>
      <c r="I3"/>
      <c r="J3"/>
      <c r="K3"/>
      <c r="L3"/>
      <c r="M3" s="2"/>
    </row>
    <row r="4" spans="1:17" x14ac:dyDescent="0.2">
      <c r="A4" t="s">
        <v>234</v>
      </c>
      <c r="C4" s="11"/>
      <c r="D4"/>
      <c r="E4"/>
      <c r="F4"/>
      <c r="G4"/>
      <c r="H4"/>
      <c r="I4"/>
      <c r="J4"/>
      <c r="K4"/>
      <c r="L4"/>
      <c r="M4" s="2"/>
    </row>
    <row r="5" spans="1:17" x14ac:dyDescent="0.2">
      <c r="A5" s="12" t="s">
        <v>299</v>
      </c>
      <c r="C5" s="11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 s="11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219"/>
      <c r="D7" s="6"/>
      <c r="E7" s="6"/>
      <c r="F7" s="6"/>
      <c r="G7" s="6"/>
      <c r="H7" s="6"/>
      <c r="I7" s="6"/>
      <c r="J7" s="6"/>
      <c r="K7" s="6"/>
      <c r="L7" s="6"/>
      <c r="M7" s="2"/>
    </row>
    <row r="8" spans="1:17" ht="12" thickTop="1" x14ac:dyDescent="0.2">
      <c r="A8"/>
      <c r="B8"/>
      <c r="C8" s="11"/>
      <c r="D8"/>
      <c r="E8"/>
      <c r="F8"/>
      <c r="G8" s="176" t="s">
        <v>72</v>
      </c>
      <c r="H8" s="50" t="s">
        <v>72</v>
      </c>
      <c r="I8"/>
      <c r="J8"/>
      <c r="K8"/>
      <c r="L8"/>
      <c r="M8" s="2"/>
    </row>
    <row r="9" spans="1:17" x14ac:dyDescent="0.2">
      <c r="A9"/>
      <c r="B9"/>
      <c r="C9" s="271"/>
      <c r="D9" s="12"/>
      <c r="E9" t="s">
        <v>302</v>
      </c>
      <c r="G9" t="s">
        <v>215</v>
      </c>
      <c r="H9" t="s">
        <v>215</v>
      </c>
      <c r="I9"/>
      <c r="J9"/>
      <c r="K9"/>
      <c r="L9"/>
      <c r="M9" s="2"/>
    </row>
    <row r="10" spans="1:17" x14ac:dyDescent="0.2">
      <c r="A10" t="s">
        <v>236</v>
      </c>
      <c r="B10"/>
      <c r="C10" s="11" t="s">
        <v>365</v>
      </c>
      <c r="D10" t="s">
        <v>235</v>
      </c>
      <c r="E10" t="s">
        <v>293</v>
      </c>
      <c r="F10" s="50" t="s">
        <v>215</v>
      </c>
      <c r="G10" s="101" t="s">
        <v>291</v>
      </c>
      <c r="H10" s="101" t="s">
        <v>291</v>
      </c>
      <c r="I10" s="10" t="s">
        <v>292</v>
      </c>
      <c r="J10"/>
      <c r="K10"/>
      <c r="L10"/>
      <c r="M10" s="2"/>
      <c r="N10" s="11" t="s">
        <v>237</v>
      </c>
    </row>
    <row r="11" spans="1:17" x14ac:dyDescent="0.2">
      <c r="A11" s="9" t="s">
        <v>238</v>
      </c>
      <c r="B11" s="9"/>
      <c r="C11" s="272" t="s">
        <v>235</v>
      </c>
      <c r="D11" s="9" t="s">
        <v>130</v>
      </c>
      <c r="E11" s="9" t="s">
        <v>298</v>
      </c>
      <c r="F11" s="328" t="s">
        <v>291</v>
      </c>
      <c r="G11" s="328" t="s">
        <v>366</v>
      </c>
      <c r="H11" s="328" t="s">
        <v>367</v>
      </c>
      <c r="I11" s="9" t="s">
        <v>294</v>
      </c>
      <c r="J11" s="9" t="s">
        <v>286</v>
      </c>
      <c r="K11" s="9" t="s">
        <v>287</v>
      </c>
      <c r="L11" s="9" t="s">
        <v>288</v>
      </c>
      <c r="M11" s="2"/>
      <c r="N11" s="269" t="s">
        <v>35</v>
      </c>
      <c r="O11" s="268" t="s">
        <v>239</v>
      </c>
    </row>
    <row r="12" spans="1:17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330" t="s">
        <v>126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7" x14ac:dyDescent="0.2">
      <c r="A13"/>
      <c r="B13"/>
      <c r="C13" s="11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s="75" t="str">
        <f t="shared" ref="A14:A48" si="1">YEAR(N14)&amp;" / "&amp;MONTH(N14)/3</f>
        <v>2009 / 2</v>
      </c>
      <c r="C14" s="273">
        <f>'[2]TWIA 4 Premium Trend'!$F14</f>
        <v>68548</v>
      </c>
      <c r="D14" s="180">
        <f>'[2]TWIA 4 Premium Trend'!$E14</f>
        <v>80599479</v>
      </c>
      <c r="E14" s="162">
        <f>'[2]TWIA 5'!$I$114</f>
        <v>1.4071004226562505</v>
      </c>
      <c r="F14" s="305">
        <f>D14*E14</f>
        <v>113411560.96677358</v>
      </c>
      <c r="G14" s="295">
        <f>F14/C14</f>
        <v>1654.4838794242514</v>
      </c>
      <c r="H14" s="295"/>
      <c r="I14" s="19"/>
      <c r="J14" s="19"/>
      <c r="K14" s="19"/>
      <c r="L14" s="19"/>
      <c r="M14" s="2"/>
      <c r="N14" s="174">
        <f t="shared" ref="N14:N43" si="2">DATE(YEAR(N15+1),MONTH(N15+1)-3,1)-1</f>
        <v>39994</v>
      </c>
      <c r="O14" s="175">
        <f t="shared" ref="O14:O48" si="3">YEAR(N14)+MONTH(N14)/12</f>
        <v>2009.5</v>
      </c>
      <c r="Q14" s="332"/>
    </row>
    <row r="15" spans="1:17" x14ac:dyDescent="0.2">
      <c r="A15" s="75" t="str">
        <f t="shared" si="1"/>
        <v>2009 / 3</v>
      </c>
      <c r="C15" s="273">
        <f>'[2]TWIA 4 Premium Trend'!$F15</f>
        <v>76008</v>
      </c>
      <c r="D15" s="180">
        <f>'[2]TWIA 4 Premium Trend'!$E15</f>
        <v>89719305</v>
      </c>
      <c r="E15" s="162">
        <f>E14</f>
        <v>1.4071004226562505</v>
      </c>
      <c r="F15" s="305">
        <f t="shared" ref="F15:F52" si="4">D15*E15</f>
        <v>126244071.98592505</v>
      </c>
      <c r="G15" s="295">
        <f t="shared" ref="G15:G52" si="5">F15/C15</f>
        <v>1660.9313754594918</v>
      </c>
      <c r="H15" s="295"/>
      <c r="I15" s="19"/>
      <c r="J15" s="19"/>
      <c r="K15" s="19"/>
      <c r="L15" s="19"/>
      <c r="M15" s="2"/>
      <c r="N15" s="174">
        <f t="shared" si="2"/>
        <v>40086</v>
      </c>
      <c r="O15" s="175">
        <f t="shared" si="3"/>
        <v>2009.75</v>
      </c>
      <c r="Q15" s="332"/>
    </row>
    <row r="16" spans="1:17" x14ac:dyDescent="0.2">
      <c r="A16" s="75" t="str">
        <f t="shared" si="1"/>
        <v>2009 / 4</v>
      </c>
      <c r="C16" s="273">
        <f>'[2]TWIA 4 Premium Trend'!$F16</f>
        <v>48007</v>
      </c>
      <c r="D16" s="180">
        <f>'[2]TWIA 4 Premium Trend'!$E16</f>
        <v>56402471</v>
      </c>
      <c r="E16" s="162">
        <f>E15</f>
        <v>1.4071004226562505</v>
      </c>
      <c r="F16" s="305">
        <f t="shared" si="4"/>
        <v>79363940.782956913</v>
      </c>
      <c r="G16" s="295">
        <f t="shared" si="5"/>
        <v>1653.1743450529489</v>
      </c>
      <c r="H16" s="295"/>
      <c r="I16" s="19"/>
      <c r="J16" s="19"/>
      <c r="K16" s="19"/>
      <c r="L16" s="19"/>
      <c r="M16" s="2"/>
      <c r="N16" s="174">
        <f t="shared" si="2"/>
        <v>40178</v>
      </c>
      <c r="O16" s="175">
        <f t="shared" si="3"/>
        <v>2010</v>
      </c>
      <c r="Q16" s="332"/>
    </row>
    <row r="17" spans="1:18" x14ac:dyDescent="0.2">
      <c r="A17" s="75" t="str">
        <f t="shared" si="1"/>
        <v>2010 / 1</v>
      </c>
      <c r="B17"/>
      <c r="C17" s="273">
        <f>'[2]TWIA 4 Premium Trend'!$F17</f>
        <v>47026</v>
      </c>
      <c r="D17" s="180">
        <f>'[2]TWIA 4 Premium Trend'!$E17</f>
        <v>54587932</v>
      </c>
      <c r="E17" s="162">
        <f>E18</f>
        <v>1.4071004226562505</v>
      </c>
      <c r="F17" s="305">
        <f t="shared" si="4"/>
        <v>76810702.189130664</v>
      </c>
      <c r="G17" s="295">
        <f t="shared" si="5"/>
        <v>1633.3666947886418</v>
      </c>
      <c r="H17" s="329">
        <f>IFERROR(SUM(F14:F17)/SUM(C14:C17),0)</f>
        <v>1652.1220754074111</v>
      </c>
      <c r="I17" s="285">
        <f>GROWTH($H$17:$H$52,$O$17:$O$52,$O17,1)</f>
        <v>1612.2764761195422</v>
      </c>
      <c r="M17" s="2"/>
      <c r="N17" s="174">
        <f t="shared" si="2"/>
        <v>40268</v>
      </c>
      <c r="O17" s="175">
        <f t="shared" si="3"/>
        <v>2010.25</v>
      </c>
      <c r="Q17" s="332"/>
    </row>
    <row r="18" spans="1:18" x14ac:dyDescent="0.2">
      <c r="A18" s="75" t="str">
        <f t="shared" si="1"/>
        <v>2010 / 2</v>
      </c>
      <c r="B18" s="51"/>
      <c r="C18" s="273">
        <f>'[2]TWIA 4 Premium Trend'!$F18</f>
        <v>72174</v>
      </c>
      <c r="D18" s="180">
        <f>'[2]TWIA 4 Premium Trend'!$E18</f>
        <v>82603320</v>
      </c>
      <c r="E18" s="39">
        <f>'[2]TWIA 5'!$I$136</f>
        <v>1.4071004226562505</v>
      </c>
      <c r="F18" s="305">
        <f t="shared" si="4"/>
        <v>116231166.4848095</v>
      </c>
      <c r="G18" s="295">
        <f t="shared" si="5"/>
        <v>1610.42988451256</v>
      </c>
      <c r="H18" s="329">
        <f>IFERROR(SUM(F15:F18)/SUM(C15:C18),0)</f>
        <v>1639.0842729388489</v>
      </c>
      <c r="I18" s="285">
        <f t="shared" ref="I18:I52" si="6">GROWTH($H$17:$H$52,$O$17:$O$52,$O18,1)</f>
        <v>1613.5407178761614</v>
      </c>
      <c r="J18" s="286"/>
      <c r="K18" s="286"/>
      <c r="L18" s="286"/>
      <c r="M18" s="2"/>
      <c r="N18" s="174">
        <f t="shared" si="2"/>
        <v>40359</v>
      </c>
      <c r="O18" s="175">
        <f t="shared" si="3"/>
        <v>2010.5</v>
      </c>
      <c r="Q18" s="332"/>
    </row>
    <row r="19" spans="1:18" x14ac:dyDescent="0.2">
      <c r="A19" s="75" t="str">
        <f t="shared" si="1"/>
        <v>2010 / 3</v>
      </c>
      <c r="C19" s="273">
        <f>'[2]TWIA 4 Premium Trend'!$F19</f>
        <v>80037</v>
      </c>
      <c r="D19" s="180">
        <f>'[2]TWIA 4 Premium Trend'!$E19</f>
        <v>91866506</v>
      </c>
      <c r="E19" s="39">
        <f t="shared" ref="E19:E24" si="7">E18</f>
        <v>1.4071004226562505</v>
      </c>
      <c r="F19" s="305">
        <f t="shared" si="4"/>
        <v>129265399.42055297</v>
      </c>
      <c r="G19" s="295">
        <f t="shared" si="5"/>
        <v>1615.070522640191</v>
      </c>
      <c r="H19" s="329">
        <f t="shared" ref="H19:H52" si="8">IFERROR(SUM(F16:F19)/SUM(C16:C19),0)</f>
        <v>1624.5943637760677</v>
      </c>
      <c r="I19" s="285">
        <f t="shared" si="6"/>
        <v>1614.8059509684736</v>
      </c>
      <c r="J19" s="284"/>
      <c r="K19" s="284"/>
      <c r="L19" s="284"/>
      <c r="M19" s="2"/>
      <c r="N19" s="174">
        <f t="shared" si="2"/>
        <v>40451</v>
      </c>
      <c r="O19" s="175">
        <f t="shared" si="3"/>
        <v>2010.75</v>
      </c>
      <c r="P19" s="249"/>
      <c r="Q19" s="332"/>
    </row>
    <row r="20" spans="1:18" x14ac:dyDescent="0.2">
      <c r="A20" s="75" t="str">
        <f t="shared" si="1"/>
        <v>2010 / 4</v>
      </c>
      <c r="C20" s="273">
        <f>'[2]TWIA 4 Premium Trend'!$F20</f>
        <v>50797</v>
      </c>
      <c r="D20" s="180">
        <f>'[2]TWIA 4 Premium Trend'!$E20</f>
        <v>58863267</v>
      </c>
      <c r="E20" s="39">
        <f t="shared" si="7"/>
        <v>1.4071004226562505</v>
      </c>
      <c r="F20" s="305">
        <f t="shared" si="4"/>
        <v>82826527.874627724</v>
      </c>
      <c r="G20" s="295">
        <f t="shared" si="5"/>
        <v>1630.539753816716</v>
      </c>
      <c r="H20" s="329">
        <f t="shared" si="8"/>
        <v>1620.3148210608192</v>
      </c>
      <c r="I20" s="285">
        <f t="shared" si="6"/>
        <v>1616.0721761738212</v>
      </c>
      <c r="J20" s="287"/>
      <c r="K20" s="287"/>
      <c r="L20" s="287"/>
      <c r="M20" s="2"/>
      <c r="N20" s="174">
        <f t="shared" si="2"/>
        <v>40543</v>
      </c>
      <c r="O20" s="175">
        <f t="shared" si="3"/>
        <v>2011</v>
      </c>
      <c r="P20" s="249"/>
      <c r="Q20" s="332"/>
    </row>
    <row r="21" spans="1:18" x14ac:dyDescent="0.2">
      <c r="A21" s="75" t="str">
        <f t="shared" si="1"/>
        <v>2011 / 1</v>
      </c>
      <c r="B21"/>
      <c r="C21" s="273">
        <f>'[2]TWIA 4 Premium Trend'!$F21</f>
        <v>49776</v>
      </c>
      <c r="D21" s="180">
        <f>'[2]TWIA 4 Premium Trend'!$E21</f>
        <v>59951748</v>
      </c>
      <c r="E21" s="39">
        <f>'[2]TWIA 5'!$J$148</f>
        <v>1.3400956406250004</v>
      </c>
      <c r="F21" s="305">
        <f t="shared" si="4"/>
        <v>80341076.142648593</v>
      </c>
      <c r="G21" s="295">
        <f t="shared" si="5"/>
        <v>1614.0524779542068</v>
      </c>
      <c r="H21" s="329">
        <f t="shared" si="8"/>
        <v>1616.653624923408</v>
      </c>
      <c r="I21" s="285">
        <f t="shared" si="6"/>
        <v>1617.3393942701537</v>
      </c>
      <c r="J21" s="287"/>
      <c r="K21" s="287"/>
      <c r="L21" s="287"/>
      <c r="M21" s="2"/>
      <c r="N21" s="174">
        <f t="shared" si="2"/>
        <v>40633</v>
      </c>
      <c r="O21" s="175">
        <f t="shared" si="3"/>
        <v>2011.25</v>
      </c>
      <c r="P21" s="249"/>
      <c r="Q21" s="332"/>
    </row>
    <row r="22" spans="1:18" x14ac:dyDescent="0.2">
      <c r="A22" s="75" t="str">
        <f t="shared" si="1"/>
        <v>2011 / 2</v>
      </c>
      <c r="B22" s="25"/>
      <c r="C22" s="273">
        <f>'[2]TWIA 4 Premium Trend'!$F22</f>
        <v>75601</v>
      </c>
      <c r="D22" s="180">
        <f>'[2]TWIA 4 Premium Trend'!$E22</f>
        <v>90742856</v>
      </c>
      <c r="E22" s="39">
        <f t="shared" si="7"/>
        <v>1.3400956406250004</v>
      </c>
      <c r="F22" s="305">
        <f t="shared" si="4"/>
        <v>121604105.74346216</v>
      </c>
      <c r="G22" s="295">
        <f t="shared" si="5"/>
        <v>1608.4986408045154</v>
      </c>
      <c r="H22" s="329">
        <f t="shared" si="8"/>
        <v>1616.0005198109816</v>
      </c>
      <c r="I22" s="285">
        <f t="shared" si="6"/>
        <v>1618.6076060360308</v>
      </c>
      <c r="J22" s="287"/>
      <c r="K22" s="287"/>
      <c r="L22" s="287"/>
      <c r="M22" s="2"/>
      <c r="N22" s="174">
        <f t="shared" si="2"/>
        <v>40724</v>
      </c>
      <c r="O22" s="175">
        <f t="shared" si="3"/>
        <v>2011.5</v>
      </c>
      <c r="P22" s="249"/>
      <c r="Q22" s="332"/>
    </row>
    <row r="23" spans="1:18" x14ac:dyDescent="0.2">
      <c r="A23" s="75" t="str">
        <f t="shared" si="1"/>
        <v>2011 / 3</v>
      </c>
      <c r="B23" s="25"/>
      <c r="C23" s="273">
        <f>'[2]TWIA 4 Premium Trend'!$F23</f>
        <v>82435</v>
      </c>
      <c r="D23" s="180">
        <f>'[2]TWIA 4 Premium Trend'!$E23</f>
        <v>99110457</v>
      </c>
      <c r="E23" s="39">
        <f t="shared" si="7"/>
        <v>1.3400956406250004</v>
      </c>
      <c r="F23" s="305">
        <f t="shared" si="4"/>
        <v>132817491.36605155</v>
      </c>
      <c r="G23" s="295">
        <f t="shared" si="5"/>
        <v>1611.1783995396561</v>
      </c>
      <c r="H23" s="329">
        <f t="shared" si="8"/>
        <v>1614.7512311125679</v>
      </c>
      <c r="I23" s="285">
        <f t="shared" si="6"/>
        <v>1619.8768122506235</v>
      </c>
      <c r="J23" s="287"/>
      <c r="K23" s="287"/>
      <c r="L23" s="287"/>
      <c r="M23" s="2"/>
      <c r="N23" s="174">
        <f t="shared" si="2"/>
        <v>40816</v>
      </c>
      <c r="O23" s="175">
        <f t="shared" si="3"/>
        <v>2011.75</v>
      </c>
      <c r="P23" s="250"/>
      <c r="Q23" s="332"/>
    </row>
    <row r="24" spans="1:18" x14ac:dyDescent="0.2">
      <c r="A24" s="75" t="str">
        <f t="shared" si="1"/>
        <v>2011 / 4</v>
      </c>
      <c r="B24" s="25"/>
      <c r="C24" s="273">
        <f>'[2]TWIA 4 Premium Trend'!$F24</f>
        <v>54497</v>
      </c>
      <c r="D24" s="180">
        <f>'[2]TWIA 4 Premium Trend'!$E24</f>
        <v>66729933</v>
      </c>
      <c r="E24" s="39">
        <f t="shared" si="7"/>
        <v>1.3400956406250004</v>
      </c>
      <c r="F24" s="305">
        <f t="shared" si="4"/>
        <v>89424492.312498361</v>
      </c>
      <c r="G24" s="295">
        <f t="shared" si="5"/>
        <v>1640.9066978457229</v>
      </c>
      <c r="H24" s="329">
        <f t="shared" si="8"/>
        <v>1617.1277598735105</v>
      </c>
      <c r="I24" s="285">
        <f t="shared" si="6"/>
        <v>1621.1470136937135</v>
      </c>
      <c r="J24" s="287"/>
      <c r="K24" s="287"/>
      <c r="L24" s="287"/>
      <c r="M24" s="2"/>
      <c r="N24" s="174">
        <f t="shared" si="2"/>
        <v>40908</v>
      </c>
      <c r="O24" s="175">
        <f t="shared" si="3"/>
        <v>2012</v>
      </c>
      <c r="P24" s="250"/>
      <c r="Q24" s="332"/>
    </row>
    <row r="25" spans="1:18" x14ac:dyDescent="0.2">
      <c r="A25" s="75" t="str">
        <f t="shared" si="1"/>
        <v>2012 / 1</v>
      </c>
      <c r="B25" s="25"/>
      <c r="C25" s="273">
        <f>'[2]TWIA 4 Premium Trend'!$F25</f>
        <v>54769</v>
      </c>
      <c r="D25" s="180">
        <f>'[2]TWIA 4 Premium Trend'!$E25</f>
        <v>68658174</v>
      </c>
      <c r="E25" s="39">
        <f>'[2]TWIA 5'!$J$160</f>
        <v>1.2762815625000004</v>
      </c>
      <c r="F25" s="305">
        <f t="shared" si="4"/>
        <v>87627161.591116905</v>
      </c>
      <c r="G25" s="295">
        <f t="shared" si="5"/>
        <v>1599.9408714987842</v>
      </c>
      <c r="H25" s="329">
        <f t="shared" si="8"/>
        <v>1614.1789100460489</v>
      </c>
      <c r="I25" s="285">
        <f t="shared" si="6"/>
        <v>1622.4182111456932</v>
      </c>
      <c r="J25" s="285"/>
      <c r="K25" s="285"/>
      <c r="L25" s="285"/>
      <c r="M25" s="2"/>
      <c r="N25" s="174">
        <f t="shared" si="2"/>
        <v>40999</v>
      </c>
      <c r="O25" s="175">
        <f t="shared" si="3"/>
        <v>2012.25</v>
      </c>
      <c r="P25" s="250"/>
      <c r="Q25" s="332"/>
    </row>
    <row r="26" spans="1:18" x14ac:dyDescent="0.2">
      <c r="A26" s="75" t="str">
        <f t="shared" si="1"/>
        <v>2012 / 2</v>
      </c>
      <c r="B26" s="25"/>
      <c r="C26" s="273">
        <f>'[2]TWIA 4 Premium Trend'!$F26</f>
        <v>77155</v>
      </c>
      <c r="D26" s="180">
        <f>'[2]TWIA 4 Premium Trend'!$E26</f>
        <v>96214511</v>
      </c>
      <c r="E26" s="39">
        <f>E25</f>
        <v>1.2762815625000004</v>
      </c>
      <c r="F26" s="305">
        <f t="shared" si="4"/>
        <v>122796806.43425347</v>
      </c>
      <c r="G26" s="295">
        <f t="shared" si="5"/>
        <v>1591.5599304549733</v>
      </c>
      <c r="H26" s="329">
        <f t="shared" si="8"/>
        <v>1609.2850883146377</v>
      </c>
      <c r="I26" s="285">
        <f t="shared" si="6"/>
        <v>1623.6904053875687</v>
      </c>
      <c r="J26" s="285"/>
      <c r="K26" s="285"/>
      <c r="L26" s="285"/>
      <c r="M26" s="2"/>
      <c r="N26" s="174">
        <f t="shared" si="2"/>
        <v>41090</v>
      </c>
      <c r="O26" s="175">
        <f t="shared" si="3"/>
        <v>2012.5</v>
      </c>
      <c r="P26" s="250"/>
      <c r="Q26" s="332"/>
    </row>
    <row r="27" spans="1:18" x14ac:dyDescent="0.2">
      <c r="A27" s="75" t="str">
        <f t="shared" si="1"/>
        <v>2012 / 3</v>
      </c>
      <c r="B27" s="25"/>
      <c r="C27" s="273">
        <f>'[2]TWIA 4 Premium Trend'!$F27</f>
        <v>89431</v>
      </c>
      <c r="D27" s="180">
        <f>'[2]TWIA 4 Premium Trend'!$E27</f>
        <v>112131482</v>
      </c>
      <c r="E27" s="39">
        <f>E26</f>
        <v>1.2762815625000004</v>
      </c>
      <c r="F27" s="305">
        <f t="shared" si="4"/>
        <v>143111343.05240068</v>
      </c>
      <c r="G27" s="295">
        <f t="shared" si="5"/>
        <v>1600.2431265713308</v>
      </c>
      <c r="H27" s="329">
        <f t="shared" si="8"/>
        <v>1605.7878985480236</v>
      </c>
      <c r="I27" s="285">
        <f t="shared" si="6"/>
        <v>1624.9635972009567</v>
      </c>
      <c r="J27" s="285"/>
      <c r="K27" s="285"/>
      <c r="L27" s="285"/>
      <c r="M27" s="2"/>
      <c r="N27" s="174">
        <f t="shared" si="2"/>
        <v>41182</v>
      </c>
      <c r="O27" s="175">
        <f t="shared" si="3"/>
        <v>2012.75</v>
      </c>
      <c r="P27" s="250"/>
      <c r="Q27" s="332"/>
    </row>
    <row r="28" spans="1:18" x14ac:dyDescent="0.2">
      <c r="A28" s="75" t="str">
        <f t="shared" si="1"/>
        <v>2012 / 4</v>
      </c>
      <c r="B28" s="25"/>
      <c r="C28" s="273">
        <f>'[2]TWIA 4 Premium Trend'!$F28</f>
        <v>54952</v>
      </c>
      <c r="D28" s="180">
        <f>'[2]TWIA 4 Premium Trend'!$E28</f>
        <v>70018382</v>
      </c>
      <c r="E28" s="39">
        <f>E27</f>
        <v>1.2762815625000004</v>
      </c>
      <c r="F28" s="305">
        <f t="shared" si="4"/>
        <v>89363169.9826819</v>
      </c>
      <c r="G28" s="295">
        <f t="shared" si="5"/>
        <v>1626.2041414813273</v>
      </c>
      <c r="H28" s="329">
        <f t="shared" si="8"/>
        <v>1602.9216815370328</v>
      </c>
      <c r="I28" s="285">
        <f t="shared" si="6"/>
        <v>1626.2377873680875</v>
      </c>
      <c r="J28" s="285"/>
      <c r="K28" s="285"/>
      <c r="L28" s="285"/>
      <c r="M28" s="2"/>
      <c r="N28" s="174">
        <f t="shared" si="2"/>
        <v>41274</v>
      </c>
      <c r="O28" s="175">
        <f t="shared" si="3"/>
        <v>2013</v>
      </c>
      <c r="P28" s="250"/>
      <c r="Q28" s="332"/>
    </row>
    <row r="29" spans="1:18" x14ac:dyDescent="0.2">
      <c r="A29" s="75" t="str">
        <f t="shared" si="1"/>
        <v>2013 / 1</v>
      </c>
      <c r="B29" s="25"/>
      <c r="C29" s="273">
        <f>'[2]TWIA 4 Premium Trend'!$F29</f>
        <v>54742</v>
      </c>
      <c r="D29" s="180">
        <f>'[2]TWIA 4 Premium Trend'!$E29</f>
        <v>71740155</v>
      </c>
      <c r="E29" s="39">
        <f>'[2]TWIA 5'!$J$172</f>
        <v>1.2155062500000002</v>
      </c>
      <c r="F29" s="305">
        <f t="shared" si="4"/>
        <v>87200606.778468773</v>
      </c>
      <c r="G29" s="295">
        <f t="shared" si="5"/>
        <v>1592.9379046886993</v>
      </c>
      <c r="H29" s="329">
        <f t="shared" si="8"/>
        <v>1601.5344080201419</v>
      </c>
      <c r="I29" s="285">
        <f t="shared" si="6"/>
        <v>1627.5129766718051</v>
      </c>
      <c r="J29" s="285"/>
      <c r="K29" s="285"/>
      <c r="L29" s="285"/>
      <c r="M29" s="2"/>
      <c r="N29" s="174">
        <f t="shared" si="2"/>
        <v>41364</v>
      </c>
      <c r="O29" s="175">
        <f t="shared" si="3"/>
        <v>2013.25</v>
      </c>
      <c r="P29" s="250"/>
      <c r="Q29" s="332"/>
      <c r="R29" s="250"/>
    </row>
    <row r="30" spans="1:18" x14ac:dyDescent="0.2">
      <c r="A30" s="75" t="str">
        <f t="shared" si="1"/>
        <v>2013 / 2</v>
      </c>
      <c r="B30" s="25"/>
      <c r="C30" s="273">
        <f>'[2]TWIA 4 Premium Trend'!$F30</f>
        <v>82182</v>
      </c>
      <c r="D30" s="180">
        <f>'[2]TWIA 4 Premium Trend'!$E30</f>
        <v>108632729</v>
      </c>
      <c r="E30" s="39">
        <f>E29</f>
        <v>1.2155062500000002</v>
      </c>
      <c r="F30" s="305">
        <f t="shared" si="4"/>
        <v>132043761.05405627</v>
      </c>
      <c r="G30" s="295">
        <f t="shared" si="5"/>
        <v>1606.7236262692106</v>
      </c>
      <c r="H30" s="329">
        <f t="shared" si="8"/>
        <v>1605.786137094376</v>
      </c>
      <c r="I30" s="285">
        <f t="shared" si="6"/>
        <v>1628.7891658955671</v>
      </c>
      <c r="J30" s="285"/>
      <c r="K30" s="285"/>
      <c r="L30" s="285"/>
      <c r="M30" s="2"/>
      <c r="N30" s="174">
        <f t="shared" si="2"/>
        <v>41455</v>
      </c>
      <c r="O30" s="175">
        <f t="shared" si="3"/>
        <v>2013.5</v>
      </c>
      <c r="P30" s="250"/>
      <c r="Q30" s="332"/>
      <c r="R30" s="250"/>
    </row>
    <row r="31" spans="1:18" x14ac:dyDescent="0.2">
      <c r="A31" s="75" t="str">
        <f t="shared" si="1"/>
        <v>2013 / 3</v>
      </c>
      <c r="B31" s="51"/>
      <c r="C31" s="273">
        <f>'[2]TWIA 4 Premium Trend'!$F31</f>
        <v>83114</v>
      </c>
      <c r="D31" s="180">
        <f>'[2]TWIA 4 Premium Trend'!$E31</f>
        <v>111540208</v>
      </c>
      <c r="E31" s="39">
        <f>E30</f>
        <v>1.2155062500000002</v>
      </c>
      <c r="F31" s="305">
        <f t="shared" si="4"/>
        <v>135577819.95030004</v>
      </c>
      <c r="G31" s="295">
        <f t="shared" si="5"/>
        <v>1631.2272294715697</v>
      </c>
      <c r="H31" s="329">
        <f t="shared" si="8"/>
        <v>1615.2782201734863</v>
      </c>
      <c r="I31" s="285">
        <f t="shared" si="6"/>
        <v>1630.0663558234451</v>
      </c>
      <c r="J31" s="285"/>
      <c r="K31" s="285"/>
      <c r="L31" s="285"/>
      <c r="M31" s="2"/>
      <c r="N31" s="174">
        <f t="shared" si="2"/>
        <v>41547</v>
      </c>
      <c r="O31" s="175">
        <f t="shared" si="3"/>
        <v>2013.75</v>
      </c>
      <c r="P31" s="250"/>
      <c r="Q31" s="332"/>
      <c r="R31" s="250"/>
    </row>
    <row r="32" spans="1:18" x14ac:dyDescent="0.2">
      <c r="A32" s="75" t="str">
        <f t="shared" si="1"/>
        <v>2013 / 4</v>
      </c>
      <c r="B32" s="50"/>
      <c r="C32" s="273">
        <f>'[2]TWIA 4 Premium Trend'!$F32</f>
        <v>60544</v>
      </c>
      <c r="D32" s="180">
        <f>'[2]TWIA 4 Premium Trend'!$E32</f>
        <v>81734680</v>
      </c>
      <c r="E32" s="39">
        <f>E31</f>
        <v>1.2155062500000002</v>
      </c>
      <c r="F32" s="305">
        <f t="shared" si="4"/>
        <v>99349014.381750017</v>
      </c>
      <c r="G32" s="295">
        <f t="shared" si="5"/>
        <v>1640.939058895184</v>
      </c>
      <c r="H32" s="329">
        <f t="shared" si="8"/>
        <v>1618.6754751358787</v>
      </c>
      <c r="I32" s="285">
        <f t="shared" si="6"/>
        <v>1631.3445472401245</v>
      </c>
      <c r="J32" s="285"/>
      <c r="K32" s="285"/>
      <c r="L32" s="285"/>
      <c r="M32" s="2"/>
      <c r="N32" s="174">
        <f t="shared" si="2"/>
        <v>41639</v>
      </c>
      <c r="O32" s="175">
        <f t="shared" si="3"/>
        <v>2014</v>
      </c>
      <c r="P32" s="250"/>
      <c r="Q32" s="332"/>
      <c r="R32" s="250"/>
    </row>
    <row r="33" spans="1:18" x14ac:dyDescent="0.2">
      <c r="A33" s="75" t="str">
        <f t="shared" si="1"/>
        <v>2014 / 1</v>
      </c>
      <c r="B33" s="50"/>
      <c r="C33" s="273">
        <f>'[2]TWIA 4 Premium Trend'!$F33</f>
        <v>55592</v>
      </c>
      <c r="D33" s="180">
        <f>'[2]TWIA 4 Premium Trend'!$E33</f>
        <v>77867785</v>
      </c>
      <c r="E33" s="39">
        <f>'[2]TWIA 5'!$J$184</f>
        <v>1.1576250000000001</v>
      </c>
      <c r="F33" s="305">
        <f t="shared" si="4"/>
        <v>90141694.610625014</v>
      </c>
      <c r="G33" s="295">
        <f t="shared" si="5"/>
        <v>1621.4868076454347</v>
      </c>
      <c r="H33" s="329">
        <f t="shared" si="8"/>
        <v>1624.2370803488282</v>
      </c>
      <c r="I33" s="285">
        <f t="shared" si="6"/>
        <v>1632.6237409309101</v>
      </c>
      <c r="J33" s="285">
        <f>GROWTH($H$33:$H$52,$O$33:$O$52,$O33,1)</f>
        <v>1639.9938092714553</v>
      </c>
      <c r="K33" s="285"/>
      <c r="L33" s="285"/>
      <c r="M33" s="2"/>
      <c r="N33" s="174">
        <f t="shared" si="2"/>
        <v>41729</v>
      </c>
      <c r="O33" s="175">
        <f t="shared" si="3"/>
        <v>2014.25</v>
      </c>
      <c r="P33" s="250"/>
      <c r="Q33" s="332"/>
      <c r="R33" s="250"/>
    </row>
    <row r="34" spans="1:18" x14ac:dyDescent="0.2">
      <c r="A34" s="75" t="str">
        <f t="shared" si="1"/>
        <v>2014 / 2</v>
      </c>
      <c r="B34" s="176"/>
      <c r="C34" s="273">
        <f>'[2]TWIA 4 Premium Trend'!$F34</f>
        <v>79155</v>
      </c>
      <c r="D34" s="180">
        <f>'[2]TWIA 4 Premium Trend'!$E34</f>
        <v>111616003</v>
      </c>
      <c r="E34" s="39">
        <f>E33</f>
        <v>1.1576250000000001</v>
      </c>
      <c r="F34" s="305">
        <f t="shared" si="4"/>
        <v>129209475.47287501</v>
      </c>
      <c r="G34" s="295">
        <f t="shared" si="5"/>
        <v>1632.3602485361002</v>
      </c>
      <c r="H34" s="329">
        <f t="shared" si="8"/>
        <v>1631.7164002641837</v>
      </c>
      <c r="I34" s="285">
        <f t="shared" si="6"/>
        <v>1633.9039376817188</v>
      </c>
      <c r="J34" s="285">
        <f t="shared" ref="J34:J52" si="9">GROWTH($H$33:$H$52,$O$33:$O$52,$O34,1)</f>
        <v>1640.9028494963025</v>
      </c>
      <c r="K34" s="285"/>
      <c r="L34" s="285"/>
      <c r="M34" s="2"/>
      <c r="N34" s="174">
        <f t="shared" si="2"/>
        <v>41820</v>
      </c>
      <c r="O34" s="175">
        <f t="shared" si="3"/>
        <v>2014.5</v>
      </c>
      <c r="P34" s="250"/>
      <c r="Q34" s="332"/>
      <c r="R34" s="250"/>
    </row>
    <row r="35" spans="1:18" x14ac:dyDescent="0.2">
      <c r="A35" s="75" t="str">
        <f t="shared" si="1"/>
        <v>2014 / 3</v>
      </c>
      <c r="B35" s="176"/>
      <c r="C35" s="273">
        <f>'[2]TWIA 4 Premium Trend'!$F35</f>
        <v>89874</v>
      </c>
      <c r="D35" s="180">
        <f>'[2]TWIA 4 Premium Trend'!$E35</f>
        <v>128096479</v>
      </c>
      <c r="E35" s="39">
        <f>E34</f>
        <v>1.1576250000000001</v>
      </c>
      <c r="F35" s="305">
        <f t="shared" si="4"/>
        <v>148287686.50237501</v>
      </c>
      <c r="G35" s="295">
        <f t="shared" si="5"/>
        <v>1649.9508923868416</v>
      </c>
      <c r="H35" s="329">
        <f>IFERROR(SUM(F32:F35)/SUM(C32:C35),0)</f>
        <v>1637.6058456249013</v>
      </c>
      <c r="I35" s="285">
        <f t="shared" si="6"/>
        <v>1635.1851382790837</v>
      </c>
      <c r="J35" s="285">
        <f t="shared" si="9"/>
        <v>1641.8123935975232</v>
      </c>
      <c r="K35" s="285"/>
      <c r="L35" s="285"/>
      <c r="M35" s="2"/>
      <c r="N35" s="174">
        <f t="shared" si="2"/>
        <v>41912</v>
      </c>
      <c r="O35" s="175">
        <f t="shared" si="3"/>
        <v>2014.75</v>
      </c>
      <c r="P35" s="250"/>
      <c r="Q35" s="332"/>
      <c r="R35" s="250"/>
    </row>
    <row r="36" spans="1:18" x14ac:dyDescent="0.2">
      <c r="A36" s="75" t="str">
        <f t="shared" si="1"/>
        <v>2014 / 4</v>
      </c>
      <c r="B36" s="50"/>
      <c r="C36" s="273">
        <f>'[2]TWIA 4 Premium Trend'!$F36</f>
        <v>60646</v>
      </c>
      <c r="D36" s="180">
        <f>'[2]TWIA 4 Premium Trend'!$E36</f>
        <v>86711448</v>
      </c>
      <c r="E36" s="39">
        <f>E35</f>
        <v>1.1576250000000001</v>
      </c>
      <c r="F36" s="305">
        <f t="shared" si="4"/>
        <v>100379339.99100001</v>
      </c>
      <c r="G36" s="295">
        <f t="shared" si="5"/>
        <v>1655.168353906276</v>
      </c>
      <c r="H36" s="329">
        <f t="shared" si="8"/>
        <v>1640.632097567805</v>
      </c>
      <c r="I36" s="285">
        <f t="shared" si="6"/>
        <v>1636.4673435101565</v>
      </c>
      <c r="J36" s="285">
        <f t="shared" si="9"/>
        <v>1642.7224418544097</v>
      </c>
      <c r="K36" s="285"/>
      <c r="L36" s="285"/>
      <c r="M36" s="2"/>
      <c r="N36" s="174">
        <f t="shared" si="2"/>
        <v>42004</v>
      </c>
      <c r="O36" s="175">
        <f t="shared" si="3"/>
        <v>2015</v>
      </c>
      <c r="P36" s="250"/>
      <c r="Q36" s="332"/>
      <c r="R36" s="250"/>
    </row>
    <row r="37" spans="1:18" x14ac:dyDescent="0.2">
      <c r="A37" s="75" t="str">
        <f t="shared" si="1"/>
        <v>2015 / 1</v>
      </c>
      <c r="B37" s="50"/>
      <c r="C37" s="273">
        <f>'[2]TWIA 4 Premium Trend'!$F37</f>
        <v>57651</v>
      </c>
      <c r="D37" s="180">
        <f>'[2]TWIA 4 Premium Trend'!$E37</f>
        <v>85327979</v>
      </c>
      <c r="E37" s="39">
        <f>'[2]TWIA 5'!$J$196</f>
        <v>1.1025</v>
      </c>
      <c r="F37" s="305">
        <f t="shared" si="4"/>
        <v>94074096.847499996</v>
      </c>
      <c r="G37" s="295">
        <f t="shared" si="5"/>
        <v>1631.7860374928448</v>
      </c>
      <c r="H37" s="329">
        <f t="shared" si="8"/>
        <v>1642.5614069515116</v>
      </c>
      <c r="I37" s="285">
        <f t="shared" si="6"/>
        <v>1637.7505541627049</v>
      </c>
      <c r="J37" s="285">
        <f t="shared" si="9"/>
        <v>1643.632994546417</v>
      </c>
      <c r="K37" s="285">
        <f>GROWTH($H$37:$H$52,$O$37:$O$52,$O37,1)</f>
        <v>1653.061409026348</v>
      </c>
      <c r="L37" s="285"/>
      <c r="M37" s="2"/>
      <c r="N37" s="174">
        <f t="shared" si="2"/>
        <v>42094</v>
      </c>
      <c r="O37" s="175">
        <f t="shared" si="3"/>
        <v>2015.25</v>
      </c>
      <c r="P37" s="250"/>
      <c r="Q37" s="332"/>
      <c r="R37" s="250"/>
    </row>
    <row r="38" spans="1:18" x14ac:dyDescent="0.2">
      <c r="A38" s="75" t="str">
        <f t="shared" si="1"/>
        <v>2015 / 2</v>
      </c>
      <c r="B38" s="50"/>
      <c r="C38" s="273">
        <f>'[2]TWIA 4 Premium Trend'!$F38</f>
        <v>82158</v>
      </c>
      <c r="D38" s="180">
        <f>'[2]TWIA 4 Premium Trend'!$E38</f>
        <v>122581230</v>
      </c>
      <c r="E38" s="39">
        <f>E37</f>
        <v>1.1025</v>
      </c>
      <c r="F38" s="305">
        <f t="shared" si="4"/>
        <v>135145806.07500002</v>
      </c>
      <c r="G38" s="295">
        <f t="shared" si="5"/>
        <v>1644.9500483823854</v>
      </c>
      <c r="H38" s="329">
        <f t="shared" si="8"/>
        <v>1646.0185837993279</v>
      </c>
      <c r="I38" s="285">
        <f t="shared" si="6"/>
        <v>1639.0347710251144</v>
      </c>
      <c r="J38" s="285">
        <f t="shared" si="9"/>
        <v>1644.5440519531489</v>
      </c>
      <c r="K38" s="285">
        <f t="shared" ref="K38:K52" si="10">GROWTH($H$37:$H$52,$O$37:$O$52,$O38,1)</f>
        <v>1652.9799303056204</v>
      </c>
      <c r="L38" s="285"/>
      <c r="M38" s="2"/>
      <c r="N38" s="174">
        <f t="shared" si="2"/>
        <v>42185</v>
      </c>
      <c r="O38" s="175">
        <f t="shared" si="3"/>
        <v>2015.5</v>
      </c>
      <c r="P38" s="250"/>
      <c r="Q38" s="332"/>
      <c r="R38" s="250"/>
    </row>
    <row r="39" spans="1:18" x14ac:dyDescent="0.2">
      <c r="A39" s="75" t="str">
        <f t="shared" si="1"/>
        <v>2015 / 3</v>
      </c>
      <c r="B39" s="105"/>
      <c r="C39" s="273">
        <f>'[2]TWIA 4 Premium Trend'!$F39</f>
        <v>84402</v>
      </c>
      <c r="D39" s="180">
        <f>'[2]TWIA 4 Premium Trend'!$E39</f>
        <v>127421809</v>
      </c>
      <c r="E39" s="39">
        <f>E38</f>
        <v>1.1025</v>
      </c>
      <c r="F39" s="305">
        <f t="shared" si="4"/>
        <v>140482544.42250001</v>
      </c>
      <c r="G39" s="295">
        <f t="shared" si="5"/>
        <v>1664.4456816485392</v>
      </c>
      <c r="H39" s="329">
        <f t="shared" si="8"/>
        <v>1650.2377941774296</v>
      </c>
      <c r="I39" s="285">
        <f t="shared" si="6"/>
        <v>1640.3199948863896</v>
      </c>
      <c r="J39" s="285">
        <f t="shared" si="9"/>
        <v>1645.4556143543648</v>
      </c>
      <c r="K39" s="285">
        <f t="shared" si="10"/>
        <v>1652.8984556009455</v>
      </c>
      <c r="L39" s="285"/>
      <c r="M39" s="2"/>
      <c r="N39" s="174">
        <f t="shared" si="2"/>
        <v>42277</v>
      </c>
      <c r="O39" s="175">
        <f t="shared" si="3"/>
        <v>2015.75</v>
      </c>
      <c r="P39" s="250"/>
      <c r="Q39" s="332"/>
      <c r="R39" s="250"/>
    </row>
    <row r="40" spans="1:18" x14ac:dyDescent="0.2">
      <c r="A40" s="75" t="str">
        <f t="shared" si="1"/>
        <v>2015 / 4</v>
      </c>
      <c r="B40" s="50"/>
      <c r="C40" s="273">
        <f>'[2]TWIA 4 Premium Trend'!$F40</f>
        <v>57308</v>
      </c>
      <c r="D40" s="180">
        <f>'[2]TWIA 4 Premium Trend'!$E40</f>
        <v>87342988</v>
      </c>
      <c r="E40" s="39">
        <f>E39</f>
        <v>1.1025</v>
      </c>
      <c r="F40" s="305">
        <f>D40*E40</f>
        <v>96295644.269999996</v>
      </c>
      <c r="G40" s="295">
        <f t="shared" si="5"/>
        <v>1680.3176566971451</v>
      </c>
      <c r="H40" s="329">
        <f t="shared" si="8"/>
        <v>1655.2989020812095</v>
      </c>
      <c r="I40" s="285">
        <f t="shared" si="6"/>
        <v>1641.6062265361525</v>
      </c>
      <c r="J40" s="285">
        <f t="shared" si="9"/>
        <v>1646.3676820299831</v>
      </c>
      <c r="K40" s="285">
        <f t="shared" si="10"/>
        <v>1652.8169849121255</v>
      </c>
      <c r="L40" s="285"/>
      <c r="M40" s="2"/>
      <c r="N40" s="174">
        <f t="shared" si="2"/>
        <v>42369</v>
      </c>
      <c r="O40" s="175">
        <f t="shared" si="3"/>
        <v>2016</v>
      </c>
      <c r="P40" s="250"/>
      <c r="Q40" s="332"/>
      <c r="R40" s="250"/>
    </row>
    <row r="41" spans="1:18" x14ac:dyDescent="0.2">
      <c r="A41" s="75" t="str">
        <f t="shared" si="1"/>
        <v>2016 / 1</v>
      </c>
      <c r="B41" s="51"/>
      <c r="C41" s="273">
        <f>'[2]TWIA 4 Premium Trend'!$F41</f>
        <v>54113</v>
      </c>
      <c r="D41" s="180">
        <f>'[2]TWIA 4 Premium Trend'!$E41</f>
        <v>84557230</v>
      </c>
      <c r="E41" s="39">
        <f>'[2]TWIA 5'!$J$197</f>
        <v>1.05</v>
      </c>
      <c r="F41" s="305">
        <f t="shared" si="4"/>
        <v>88785091.5</v>
      </c>
      <c r="G41" s="295">
        <f t="shared" si="5"/>
        <v>1640.7349712638368</v>
      </c>
      <c r="H41" s="329">
        <f t="shared" si="8"/>
        <v>1657.3402004723346</v>
      </c>
      <c r="I41" s="285">
        <f t="shared" si="6"/>
        <v>1642.8934667646452</v>
      </c>
      <c r="J41" s="285">
        <f t="shared" si="9"/>
        <v>1647.2802552600729</v>
      </c>
      <c r="K41" s="285">
        <f t="shared" si="10"/>
        <v>1652.7355182389626</v>
      </c>
      <c r="L41" s="285">
        <f>GROWTH($H$41:$H$52,$O$41:$O$52,$O41,1)</f>
        <v>1660.5041739802227</v>
      </c>
      <c r="M41" s="2"/>
      <c r="N41" s="174">
        <f t="shared" si="2"/>
        <v>42460</v>
      </c>
      <c r="O41" s="175">
        <f t="shared" si="3"/>
        <v>2016.25</v>
      </c>
      <c r="P41" s="250"/>
      <c r="Q41" s="332"/>
      <c r="R41" s="250"/>
    </row>
    <row r="42" spans="1:18" x14ac:dyDescent="0.2">
      <c r="A42" s="75" t="str">
        <f t="shared" si="1"/>
        <v>2016 / 2</v>
      </c>
      <c r="B42" s="51"/>
      <c r="C42" s="273">
        <f>'[2]TWIA 4 Premium Trend'!$F42</f>
        <v>79991</v>
      </c>
      <c r="D42" s="180">
        <f>'[2]TWIA 4 Premium Trend'!$E42</f>
        <v>125845764</v>
      </c>
      <c r="E42" s="39">
        <f>E41</f>
        <v>1.05</v>
      </c>
      <c r="F42" s="305">
        <f t="shared" si="4"/>
        <v>132138052.2</v>
      </c>
      <c r="G42" s="295">
        <f t="shared" si="5"/>
        <v>1651.9114925429112</v>
      </c>
      <c r="H42" s="329">
        <f t="shared" si="8"/>
        <v>1659.4564902162326</v>
      </c>
      <c r="I42" s="285">
        <f t="shared" si="6"/>
        <v>1644.181716362729</v>
      </c>
      <c r="J42" s="285">
        <f t="shared" si="9"/>
        <v>1648.1933343248622</v>
      </c>
      <c r="K42" s="285">
        <f t="shared" si="10"/>
        <v>1652.6540555812587</v>
      </c>
      <c r="L42" s="285">
        <f t="shared" ref="L42:L52" si="11">GROWTH($H$41:$H$52,$O$41:$O$52,$O42,1)</f>
        <v>1659.2762588191699</v>
      </c>
      <c r="M42" s="2"/>
      <c r="N42" s="174">
        <f t="shared" si="2"/>
        <v>42551</v>
      </c>
      <c r="O42" s="175">
        <f t="shared" si="3"/>
        <v>2016.5</v>
      </c>
      <c r="P42" s="250"/>
      <c r="Q42" s="332"/>
      <c r="R42" s="250"/>
    </row>
    <row r="43" spans="1:18" x14ac:dyDescent="0.2">
      <c r="A43" s="75" t="str">
        <f t="shared" si="1"/>
        <v>2016 / 3</v>
      </c>
      <c r="B43" s="51"/>
      <c r="C43" s="273">
        <f>'[2]TWIA 4 Premium Trend'!$F43</f>
        <v>77932</v>
      </c>
      <c r="D43" s="180">
        <f>'[2]TWIA 4 Premium Trend'!$E43</f>
        <v>123784247</v>
      </c>
      <c r="E43" s="39">
        <f>E42</f>
        <v>1.05</v>
      </c>
      <c r="F43" s="305">
        <f t="shared" si="4"/>
        <v>129973459.35000001</v>
      </c>
      <c r="G43" s="295">
        <f t="shared" si="5"/>
        <v>1667.7803642919469</v>
      </c>
      <c r="H43" s="329">
        <f t="shared" si="8"/>
        <v>1660.3015003861233</v>
      </c>
      <c r="I43" s="285">
        <f t="shared" si="6"/>
        <v>1645.470976121886</v>
      </c>
      <c r="J43" s="285">
        <f t="shared" si="9"/>
        <v>1649.1069195047305</v>
      </c>
      <c r="K43" s="285">
        <f t="shared" si="10"/>
        <v>1652.5725969388156</v>
      </c>
      <c r="L43" s="285">
        <f t="shared" si="11"/>
        <v>1658.0492516809136</v>
      </c>
      <c r="M43" s="2"/>
      <c r="N43" s="174">
        <f t="shared" si="2"/>
        <v>42643</v>
      </c>
      <c r="O43" s="175">
        <f t="shared" si="3"/>
        <v>2016.75</v>
      </c>
      <c r="P43" s="250"/>
      <c r="Q43" s="332"/>
      <c r="R43" s="250"/>
    </row>
    <row r="44" spans="1:18" x14ac:dyDescent="0.2">
      <c r="A44" s="75" t="str">
        <f t="shared" si="1"/>
        <v>2016 / 4</v>
      </c>
      <c r="B44" s="50"/>
      <c r="C44" s="273">
        <f>'[2]TWIA 4 Premium Trend'!$F44</f>
        <v>51030</v>
      </c>
      <c r="D44" s="180">
        <f>'[2]TWIA 4 Premium Trend'!$E44</f>
        <v>81959449</v>
      </c>
      <c r="E44" s="39">
        <f>E43</f>
        <v>1.05</v>
      </c>
      <c r="F44" s="305">
        <f t="shared" si="4"/>
        <v>86057421.450000003</v>
      </c>
      <c r="G44" s="295">
        <f t="shared" si="5"/>
        <v>1686.4084156378601</v>
      </c>
      <c r="H44" s="329">
        <f t="shared" si="8"/>
        <v>1661.0053161564017</v>
      </c>
      <c r="I44" s="285">
        <f t="shared" si="6"/>
        <v>1646.7612468342177</v>
      </c>
      <c r="J44" s="285">
        <f t="shared" si="9"/>
        <v>1650.0210110802179</v>
      </c>
      <c r="K44" s="285">
        <f t="shared" si="10"/>
        <v>1652.4911423114361</v>
      </c>
      <c r="L44" s="285">
        <f t="shared" si="11"/>
        <v>1656.8231518939863</v>
      </c>
      <c r="M44" s="2"/>
      <c r="N44" s="174">
        <f t="shared" ref="N44:N51" si="12">DATE(YEAR(N45+1),MONTH(N45+1)-3,1)-1</f>
        <v>42735</v>
      </c>
      <c r="O44" s="175">
        <f t="shared" si="3"/>
        <v>2017</v>
      </c>
      <c r="P44" s="250"/>
      <c r="Q44" s="332"/>
      <c r="R44" s="250"/>
    </row>
    <row r="45" spans="1:18" x14ac:dyDescent="0.2">
      <c r="A45" s="75" t="str">
        <f t="shared" si="1"/>
        <v>2017 / 1</v>
      </c>
      <c r="B45" s="51"/>
      <c r="C45" s="273">
        <f>'[2]TWIA 4 Premium Trend'!$F45</f>
        <v>50991</v>
      </c>
      <c r="D45" s="180">
        <f>'[2]TWIA 4 Premium Trend'!$E45</f>
        <v>79037984</v>
      </c>
      <c r="E45" s="39">
        <f>'[2]TWIA 5'!$J$220</f>
        <v>1.05</v>
      </c>
      <c r="F45" s="305">
        <f t="shared" si="4"/>
        <v>82989883.200000003</v>
      </c>
      <c r="G45" s="295">
        <f t="shared" si="5"/>
        <v>1627.5398246749428</v>
      </c>
      <c r="H45" s="329">
        <f t="shared" si="8"/>
        <v>1658.6603891607422</v>
      </c>
      <c r="I45" s="285">
        <f t="shared" si="6"/>
        <v>1648.0525292924465</v>
      </c>
      <c r="J45" s="285">
        <f t="shared" si="9"/>
        <v>1650.935609332013</v>
      </c>
      <c r="K45" s="285">
        <f t="shared" si="10"/>
        <v>1652.4096916989215</v>
      </c>
      <c r="L45" s="285">
        <f t="shared" si="11"/>
        <v>1655.5979587874151</v>
      </c>
      <c r="M45" s="2"/>
      <c r="N45" s="174">
        <f t="shared" si="12"/>
        <v>42825</v>
      </c>
      <c r="O45" s="175">
        <f t="shared" si="3"/>
        <v>2017.25</v>
      </c>
      <c r="P45" s="332"/>
      <c r="Q45" s="213"/>
      <c r="R45" s="250"/>
    </row>
    <row r="46" spans="1:18" x14ac:dyDescent="0.2">
      <c r="A46" s="75" t="str">
        <f t="shared" si="1"/>
        <v>2017 / 2</v>
      </c>
      <c r="B46" s="51"/>
      <c r="C46" s="273">
        <f>'[2]TWIA 4 Premium Trend'!$F46</f>
        <v>73614</v>
      </c>
      <c r="D46" s="180">
        <f>'[2]TWIA 4 Premium Trend'!$E46</f>
        <v>114547681</v>
      </c>
      <c r="E46" s="39">
        <f>E45</f>
        <v>1.05</v>
      </c>
      <c r="F46" s="305">
        <f>D46*E46</f>
        <v>120275065.05000001</v>
      </c>
      <c r="G46" s="295">
        <f t="shared" si="5"/>
        <v>1633.8612906512351</v>
      </c>
      <c r="H46" s="329">
        <f t="shared" si="8"/>
        <v>1653.5898955700072</v>
      </c>
      <c r="I46" s="285">
        <f t="shared" si="6"/>
        <v>1649.3448242899203</v>
      </c>
      <c r="J46" s="285">
        <f t="shared" si="9"/>
        <v>1651.8507145409678</v>
      </c>
      <c r="K46" s="285">
        <f t="shared" si="10"/>
        <v>1652.3282451010743</v>
      </c>
      <c r="L46" s="285">
        <f t="shared" si="11"/>
        <v>1654.3736716907272</v>
      </c>
      <c r="M46" s="2"/>
      <c r="N46" s="174">
        <f t="shared" si="12"/>
        <v>42916</v>
      </c>
      <c r="O46" s="175">
        <f t="shared" si="3"/>
        <v>2017.5</v>
      </c>
      <c r="P46" s="332"/>
      <c r="Q46" s="213"/>
      <c r="R46" s="250"/>
    </row>
    <row r="47" spans="1:18" x14ac:dyDescent="0.2">
      <c r="A47" s="75" t="str">
        <f t="shared" si="1"/>
        <v>2017 / 3</v>
      </c>
      <c r="B47" s="51"/>
      <c r="C47" s="273">
        <f>'[2]TWIA 4 Premium Trend'!$F47</f>
        <v>68864</v>
      </c>
      <c r="D47" s="180">
        <f>'[2]TWIA 4 Premium Trend'!$E47</f>
        <v>108614623</v>
      </c>
      <c r="E47" s="39">
        <f>E46</f>
        <v>1.05</v>
      </c>
      <c r="F47" s="305">
        <f t="shared" si="4"/>
        <v>114045354.15000001</v>
      </c>
      <c r="G47" s="295">
        <f>F47/C47</f>
        <v>1656.0954076150094</v>
      </c>
      <c r="H47" s="329">
        <f t="shared" si="8"/>
        <v>1649.7724892535348</v>
      </c>
      <c r="I47" s="285">
        <f t="shared" si="6"/>
        <v>1650.6381326206044</v>
      </c>
      <c r="J47" s="285">
        <f t="shared" si="9"/>
        <v>1652.7663269880827</v>
      </c>
      <c r="K47" s="285">
        <f t="shared" si="10"/>
        <v>1652.2468025176966</v>
      </c>
      <c r="L47" s="285">
        <f t="shared" si="11"/>
        <v>1653.1502899339407</v>
      </c>
      <c r="M47" s="2"/>
      <c r="N47" s="174">
        <f t="shared" si="12"/>
        <v>43008</v>
      </c>
      <c r="O47" s="175">
        <f t="shared" si="3"/>
        <v>2017.75</v>
      </c>
      <c r="P47" s="332"/>
      <c r="Q47" s="213"/>
      <c r="R47" s="250"/>
    </row>
    <row r="48" spans="1:18" x14ac:dyDescent="0.2">
      <c r="A48" s="237" t="str">
        <f t="shared" si="1"/>
        <v>2017 / 4</v>
      </c>
      <c r="B48" s="51"/>
      <c r="C48" s="273">
        <f>'[2]TWIA 4 Premium Trend'!$F48</f>
        <v>45960</v>
      </c>
      <c r="D48" s="180">
        <f>'[2]TWIA 4 Premium Trend'!$E48</f>
        <v>73697340</v>
      </c>
      <c r="E48" s="39">
        <f>E47</f>
        <v>1.05</v>
      </c>
      <c r="F48" s="305">
        <f t="shared" si="4"/>
        <v>77382207</v>
      </c>
      <c r="G48" s="295">
        <f t="shared" si="5"/>
        <v>1683.6859660574412</v>
      </c>
      <c r="H48" s="329">
        <f t="shared" si="8"/>
        <v>1648.4741171704345</v>
      </c>
      <c r="I48" s="285">
        <f t="shared" si="6"/>
        <v>1651.9324550790884</v>
      </c>
      <c r="J48" s="285">
        <f t="shared" si="9"/>
        <v>1653.6824469545202</v>
      </c>
      <c r="K48" s="285">
        <f t="shared" si="10"/>
        <v>1652.1653639485905</v>
      </c>
      <c r="L48" s="285">
        <f t="shared" si="11"/>
        <v>1651.927812847573</v>
      </c>
      <c r="M48" s="2"/>
      <c r="N48" s="174">
        <f t="shared" si="12"/>
        <v>43100</v>
      </c>
      <c r="O48" s="175">
        <f t="shared" si="3"/>
        <v>2018</v>
      </c>
      <c r="P48" s="332"/>
      <c r="Q48" s="213"/>
      <c r="R48" s="250"/>
    </row>
    <row r="49" spans="1:18" x14ac:dyDescent="0.2">
      <c r="A49" s="237" t="str">
        <f>YEAR(N49)&amp;" / "&amp;MONTH(N49)/3</f>
        <v>2018 / 1</v>
      </c>
      <c r="B49" s="51"/>
      <c r="C49" s="273">
        <f>'[2]TWIA 4 Premium Trend'!$F49</f>
        <v>44101</v>
      </c>
      <c r="D49" s="180">
        <f>'[2]TWIA 4 Premium Trend'!$E49</f>
        <v>71679332</v>
      </c>
      <c r="E49" s="39">
        <f>'[2]TWIA 5'!$J$221</f>
        <v>1</v>
      </c>
      <c r="F49" s="305">
        <f t="shared" si="4"/>
        <v>71679332</v>
      </c>
      <c r="G49" s="295">
        <f t="shared" si="5"/>
        <v>1625.3448221128772</v>
      </c>
      <c r="H49" s="329">
        <f t="shared" si="8"/>
        <v>1648.6781064681625</v>
      </c>
      <c r="I49" s="285">
        <f t="shared" si="6"/>
        <v>1653.2277924605855</v>
      </c>
      <c r="J49" s="285">
        <f t="shared" si="9"/>
        <v>1654.5990747215942</v>
      </c>
      <c r="K49" s="285">
        <f t="shared" si="10"/>
        <v>1652.0839293935585</v>
      </c>
      <c r="L49" s="285">
        <f t="shared" si="11"/>
        <v>1650.7062397626376</v>
      </c>
      <c r="M49" s="2"/>
      <c r="N49" s="174">
        <f t="shared" si="12"/>
        <v>43190</v>
      </c>
      <c r="O49" s="175">
        <f>YEAR(N49)+MONTH(N49)/12</f>
        <v>2018.25</v>
      </c>
      <c r="P49" s="250"/>
      <c r="Q49" s="332"/>
      <c r="R49" s="250"/>
    </row>
    <row r="50" spans="1:18" x14ac:dyDescent="0.2">
      <c r="A50" s="237" t="str">
        <f>YEAR(N50)&amp;" / "&amp;MONTH(N50)/3</f>
        <v>2018 / 2</v>
      </c>
      <c r="B50" s="51"/>
      <c r="C50" s="273">
        <f>'[2]TWIA 4 Premium Trend'!$F50</f>
        <v>63851</v>
      </c>
      <c r="D50" s="180">
        <f>'[2]TWIA 4 Premium Trend'!$E50</f>
        <v>104163394</v>
      </c>
      <c r="E50" s="39">
        <f>E49</f>
        <v>1</v>
      </c>
      <c r="F50" s="305">
        <f t="shared" si="4"/>
        <v>104163394</v>
      </c>
      <c r="G50" s="295">
        <f t="shared" si="5"/>
        <v>1631.351020344239</v>
      </c>
      <c r="H50" s="329">
        <f t="shared" si="8"/>
        <v>1648.6079611358493</v>
      </c>
      <c r="I50" s="285">
        <f t="shared" si="6"/>
        <v>1654.5241455609316</v>
      </c>
      <c r="J50" s="285">
        <f t="shared" si="9"/>
        <v>1655.5162105707748</v>
      </c>
      <c r="K50" s="285">
        <f t="shared" si="10"/>
        <v>1652.0024988524021</v>
      </c>
      <c r="L50" s="285">
        <f t="shared" si="11"/>
        <v>1649.4855700106364</v>
      </c>
      <c r="M50" s="2"/>
      <c r="N50" s="174">
        <f t="shared" si="12"/>
        <v>43281</v>
      </c>
      <c r="O50" s="175">
        <f>YEAR(N50)+MONTH(N50)/12</f>
        <v>2018.5</v>
      </c>
      <c r="P50" s="250"/>
      <c r="Q50" s="332"/>
      <c r="R50" s="250"/>
    </row>
    <row r="51" spans="1:18" x14ac:dyDescent="0.2">
      <c r="A51" s="237" t="str">
        <f>YEAR(N51)&amp;" / "&amp;MONTH(N51)/3</f>
        <v>2018 / 3</v>
      </c>
      <c r="B51" s="51"/>
      <c r="C51" s="273">
        <f>'[2]TWIA 4 Premium Trend'!$F51</f>
        <v>61408</v>
      </c>
      <c r="D51" s="180">
        <f>'[2]TWIA 4 Premium Trend'!$E51</f>
        <v>101951681</v>
      </c>
      <c r="E51" s="39">
        <f>E50</f>
        <v>1</v>
      </c>
      <c r="F51" s="305">
        <f t="shared" si="4"/>
        <v>101951681</v>
      </c>
      <c r="G51" s="295">
        <f t="shared" si="5"/>
        <v>1660.234513418447</v>
      </c>
      <c r="H51" s="329">
        <f t="shared" si="8"/>
        <v>1649.5291380271224</v>
      </c>
      <c r="I51" s="285">
        <f t="shared" si="6"/>
        <v>1655.8215151765869</v>
      </c>
      <c r="J51" s="285">
        <f t="shared" si="9"/>
        <v>1656.4338547836917</v>
      </c>
      <c r="K51" s="285">
        <f t="shared" si="10"/>
        <v>1651.9210723249237</v>
      </c>
      <c r="L51" s="285">
        <f t="shared" si="11"/>
        <v>1648.2658029235724</v>
      </c>
      <c r="M51" s="2"/>
      <c r="N51" s="174">
        <f t="shared" si="12"/>
        <v>43373</v>
      </c>
      <c r="O51" s="175">
        <f>YEAR(N51)+MONTH(N51)/12</f>
        <v>2018.75</v>
      </c>
      <c r="P51" s="250"/>
      <c r="Q51" s="332"/>
      <c r="R51" s="250"/>
    </row>
    <row r="52" spans="1:18" x14ac:dyDescent="0.2">
      <c r="A52" s="237" t="str">
        <f>YEAR(N52)&amp;" / "&amp;MONTH(N52)/3</f>
        <v>2018 / 4</v>
      </c>
      <c r="B52" s="51"/>
      <c r="C52" s="273">
        <f>'[2]TWIA 4 Premium Trend'!$F52</f>
        <v>40418</v>
      </c>
      <c r="D52" s="180">
        <f>'[2]TWIA 4 Premium Trend'!$E52</f>
        <v>68300637</v>
      </c>
      <c r="E52" s="39">
        <f>E51</f>
        <v>1</v>
      </c>
      <c r="F52" s="305">
        <f t="shared" si="4"/>
        <v>68300637</v>
      </c>
      <c r="G52" s="295">
        <f t="shared" si="5"/>
        <v>1689.8569201840764</v>
      </c>
      <c r="H52" s="329">
        <f t="shared" si="8"/>
        <v>1649.8157290087615</v>
      </c>
      <c r="I52" s="285">
        <f t="shared" si="6"/>
        <v>1657.1199021046361</v>
      </c>
      <c r="J52" s="285">
        <f t="shared" si="9"/>
        <v>1657.352007642126</v>
      </c>
      <c r="K52" s="285">
        <f t="shared" si="10"/>
        <v>1651.8396498109259</v>
      </c>
      <c r="L52" s="285">
        <f t="shared" si="11"/>
        <v>1647.046937833941</v>
      </c>
      <c r="M52" s="2"/>
      <c r="N52" s="99">
        <v>43465</v>
      </c>
      <c r="O52" s="175">
        <f>YEAR(N52)+MONTH(N52)/12</f>
        <v>2019</v>
      </c>
      <c r="P52" s="250"/>
      <c r="Q52" s="332"/>
      <c r="R52" s="250"/>
    </row>
    <row r="53" spans="1:18" x14ac:dyDescent="0.2">
      <c r="A53" s="179"/>
      <c r="B53" s="26"/>
      <c r="C53" s="274"/>
      <c r="D53" s="181"/>
      <c r="E53" s="186"/>
      <c r="F53" s="181"/>
      <c r="G53" s="177"/>
      <c r="H53" s="177"/>
      <c r="I53" s="182"/>
      <c r="J53" s="182"/>
      <c r="K53" s="182"/>
      <c r="L53" s="182"/>
      <c r="M53" s="2"/>
    </row>
    <row r="54" spans="1:18" x14ac:dyDescent="0.2">
      <c r="A54" s="237"/>
      <c r="B54" s="51"/>
      <c r="C54" s="275"/>
      <c r="D54" s="180"/>
      <c r="E54" s="239"/>
      <c r="F54" s="238"/>
      <c r="G54" s="240"/>
      <c r="H54" s="240"/>
      <c r="I54" s="241"/>
      <c r="J54" s="241"/>
      <c r="K54" s="241"/>
      <c r="L54" s="241"/>
      <c r="M54" s="2"/>
      <c r="N54" s="99"/>
      <c r="O54" s="175"/>
    </row>
    <row r="55" spans="1:18" x14ac:dyDescent="0.2">
      <c r="A55" s="242" t="s">
        <v>280</v>
      </c>
      <c r="B55" s="50" t="s">
        <v>296</v>
      </c>
      <c r="C55" s="120"/>
      <c r="D55" s="50"/>
      <c r="E55" s="50"/>
      <c r="F55" s="50"/>
      <c r="G55" s="50"/>
      <c r="H55" s="50"/>
      <c r="I55" s="65">
        <f>LOGEST($I$18:$I$52,$O$18:$O$52,1,1)-1</f>
        <v>3.1402294988500667E-3</v>
      </c>
      <c r="J55" s="65">
        <f>LOGEST($J$33:$J$52,$O$33:$O$52,1,1)-1</f>
        <v>2.2190237880095331E-3</v>
      </c>
      <c r="K55" s="65">
        <f>LOGEST($K$37:$K$52,$O$37:$O$52,1,1)-1</f>
        <v>-1.971437876450155E-4</v>
      </c>
      <c r="L55" s="65">
        <f>LOGEST($L$41:$L$52,$O$41:$O$52,1,1)-1</f>
        <v>-2.9546539356458679E-3</v>
      </c>
      <c r="M55" s="2"/>
      <c r="N55" s="178"/>
    </row>
    <row r="56" spans="1:18" x14ac:dyDescent="0.2">
      <c r="A56" s="109" t="s">
        <v>209</v>
      </c>
      <c r="B56" s="50" t="s">
        <v>295</v>
      </c>
      <c r="C56" s="46"/>
      <c r="D56" s="19"/>
      <c r="E56"/>
      <c r="F56" s="19"/>
      <c r="G56" s="19"/>
      <c r="H56" s="19"/>
      <c r="I56" s="65">
        <f>INDEX(LOGEST($H$17:$H$52,$O$17:$O$52,1,1),3,1)</f>
        <v>0.48273007822865138</v>
      </c>
      <c r="J56" s="65">
        <f>INDEX(LOGEST($H$33:$H$52,$O$33:$O$52,1,1),3,1)</f>
        <v>0.3122438081004118</v>
      </c>
      <c r="K56" s="65">
        <f>INDEX(LOGEST($H$37:$H$52,$O$37:$O$52,1,1),3,1)</f>
        <v>4.8290083627026345E-3</v>
      </c>
      <c r="L56" s="65">
        <f>INDEX(LOGEST($H$41:$H$52,$O$41:$O$52,1,1),3,1)</f>
        <v>0.72789377014732382</v>
      </c>
      <c r="M56" s="2"/>
    </row>
    <row r="57" spans="1:18" x14ac:dyDescent="0.2">
      <c r="A57"/>
      <c r="C57" s="46"/>
      <c r="D57" s="19"/>
      <c r="E57"/>
      <c r="F57" s="19"/>
      <c r="G57" s="19"/>
      <c r="H57" s="19"/>
      <c r="I57" s="19"/>
      <c r="J57" s="19"/>
      <c r="K57" s="19"/>
      <c r="L57" s="19"/>
      <c r="M57" s="2"/>
    </row>
    <row r="58" spans="1:18" x14ac:dyDescent="0.2">
      <c r="A58" s="109" t="s">
        <v>297</v>
      </c>
      <c r="B58" s="12" t="s">
        <v>226</v>
      </c>
      <c r="C58" s="46"/>
      <c r="D58" s="19"/>
      <c r="F58" s="19"/>
      <c r="G58" s="19"/>
      <c r="H58" s="19"/>
      <c r="I58" s="19"/>
      <c r="J58" s="19"/>
      <c r="K58" s="19"/>
      <c r="L58" s="111">
        <f>AVERAGE(J55:L55)</f>
        <v>-3.1092464509378342E-4</v>
      </c>
      <c r="M58" s="2"/>
    </row>
    <row r="59" spans="1:18" ht="12" thickBot="1" x14ac:dyDescent="0.25">
      <c r="A59" s="6"/>
      <c r="B59" s="6"/>
      <c r="C59" s="219"/>
      <c r="D59" s="6"/>
      <c r="E59" s="6"/>
      <c r="F59" s="6"/>
      <c r="G59" s="6"/>
      <c r="H59" s="6"/>
      <c r="I59" s="6"/>
      <c r="J59" s="6"/>
      <c r="K59" s="6"/>
      <c r="L59" s="6"/>
      <c r="M59" s="2"/>
    </row>
    <row r="60" spans="1:18" ht="12" thickTop="1" x14ac:dyDescent="0.2">
      <c r="A60"/>
      <c r="B60"/>
      <c r="C60" s="11"/>
      <c r="D60"/>
      <c r="E60"/>
      <c r="F60"/>
      <c r="G60"/>
      <c r="H60"/>
      <c r="I60"/>
      <c r="J60"/>
      <c r="K60"/>
      <c r="L60"/>
      <c r="M60" s="2"/>
    </row>
    <row r="61" spans="1:18" x14ac:dyDescent="0.2">
      <c r="A61" s="25" t="s">
        <v>18</v>
      </c>
      <c r="B61" s="25"/>
      <c r="C61" s="277" t="str">
        <f>C12&amp;" Provided by TWIA"</f>
        <v>(2) Provided by TWIA</v>
      </c>
      <c r="D61" s="279"/>
      <c r="E61" s="278"/>
      <c r="F61" s="25"/>
      <c r="G61" s="331" t="s">
        <v>369</v>
      </c>
      <c r="I61"/>
      <c r="J61"/>
      <c r="K61"/>
      <c r="L61"/>
      <c r="M61" s="2"/>
    </row>
    <row r="62" spans="1:18" x14ac:dyDescent="0.2">
      <c r="A62" s="25"/>
      <c r="B62" s="280"/>
      <c r="C62" s="277" t="str">
        <f>D12&amp;" Provided by TWIA"</f>
        <v>(3) Provided by TWIA</v>
      </c>
      <c r="D62" s="279"/>
      <c r="E62" s="278"/>
      <c r="F62" s="279"/>
      <c r="G62" s="22" t="str">
        <f>I12&amp;" - "&amp;L12&amp;" = "&amp;G12&amp;" fitted to an exponential distribution"</f>
        <v>(8) - (11) = (6) fitted to an exponential distribution</v>
      </c>
      <c r="H62" s="22"/>
      <c r="I62" s="102"/>
      <c r="J62" s="102"/>
      <c r="K62" s="102"/>
      <c r="L62"/>
      <c r="M62" s="2"/>
    </row>
    <row r="63" spans="1:18" x14ac:dyDescent="0.2">
      <c r="A63" s="279"/>
      <c r="B63" s="164"/>
      <c r="C63" s="277" t="str">
        <f>E12&amp;" Cumulative effect of annual rate changes"</f>
        <v>(4) Cumulative effect of annual rate changes</v>
      </c>
      <c r="D63" s="278"/>
      <c r="E63" s="279"/>
      <c r="F63" s="280"/>
      <c r="G63" s="164" t="str">
        <f>'3.2 premium trend'!A55&amp;" Fitted average annual change"</f>
        <v>(14) Fitted average annual change</v>
      </c>
      <c r="H63" s="164"/>
      <c r="I63" s="102"/>
      <c r="J63" s="102"/>
      <c r="K63" s="102"/>
      <c r="L63"/>
      <c r="M63" s="2"/>
    </row>
    <row r="64" spans="1:18" x14ac:dyDescent="0.2">
      <c r="A64" s="281"/>
      <c r="B64" s="279"/>
      <c r="C64" s="277" t="str">
        <f>F12&amp;" = "&amp;D12&amp;" * "&amp;E12&amp;" Indexed to "&amp;A52</f>
        <v>(5) = (3) * (4) Indexed to 2018 / 4</v>
      </c>
      <c r="D64" s="279"/>
      <c r="E64" s="279"/>
      <c r="F64" s="280"/>
      <c r="G64" s="164" t="str">
        <f>'3.2 premium trend'!A56&amp;" Evaluates the predictability of the fitted curve"</f>
        <v>(15) Evaluates the predictability of the fitted curve</v>
      </c>
      <c r="H64" s="164"/>
      <c r="I64" s="102"/>
      <c r="J64" s="102"/>
      <c r="K64" s="102"/>
      <c r="L64"/>
      <c r="M64" s="2"/>
    </row>
    <row r="65" spans="1:13" x14ac:dyDescent="0.2">
      <c r="A65" s="25"/>
      <c r="B65" s="280"/>
      <c r="C65" s="281" t="s">
        <v>368</v>
      </c>
      <c r="D65" s="25"/>
      <c r="E65" s="25"/>
      <c r="F65" s="279"/>
      <c r="G65" s="164" t="str">
        <f>'3.2 premium trend'!A58&amp;" Selected based on judgment"</f>
        <v>(16) Selected based on judgment</v>
      </c>
      <c r="H65" s="164"/>
      <c r="I65" s="102"/>
      <c r="J65" s="102"/>
      <c r="K65" s="102"/>
      <c r="L65"/>
      <c r="M65" s="2"/>
    </row>
    <row r="66" spans="1:13" x14ac:dyDescent="0.2">
      <c r="A66" s="279"/>
      <c r="B66" s="164"/>
      <c r="C66" s="277"/>
      <c r="D66" s="279"/>
      <c r="E66" s="279"/>
      <c r="F66" s="279"/>
      <c r="L66"/>
      <c r="M66" s="2"/>
    </row>
    <row r="67" spans="1:13" x14ac:dyDescent="0.2">
      <c r="A67" s="279"/>
      <c r="B67" s="164"/>
      <c r="C67" s="277"/>
      <c r="D67" s="279"/>
      <c r="E67" s="279"/>
      <c r="F67" s="279"/>
      <c r="L67"/>
      <c r="M67" s="2"/>
    </row>
    <row r="68" spans="1:13" x14ac:dyDescent="0.2">
      <c r="A68" s="51"/>
      <c r="B68" s="279"/>
      <c r="C68" s="279"/>
      <c r="D68" s="282"/>
      <c r="E68" s="282"/>
      <c r="F68" s="283"/>
      <c r="G68" s="108"/>
      <c r="H68" s="108"/>
      <c r="I68" s="108"/>
      <c r="J68" s="108"/>
      <c r="K68" s="108"/>
      <c r="L68"/>
      <c r="M68" s="2"/>
    </row>
    <row r="69" spans="1:13" x14ac:dyDescent="0.2">
      <c r="A69" s="50"/>
      <c r="D69" s="50"/>
      <c r="E69" s="50"/>
      <c r="F69" s="50"/>
      <c r="G69" s="60"/>
      <c r="H69" s="60"/>
      <c r="I69" s="60"/>
      <c r="J69" s="60"/>
      <c r="K69" s="60"/>
      <c r="L69"/>
      <c r="M69" s="2"/>
    </row>
    <row r="70" spans="1:13" ht="12" thickBot="1" x14ac:dyDescent="0.25">
      <c r="A70"/>
      <c r="D70" s="19"/>
      <c r="E70"/>
      <c r="F70" s="19"/>
      <c r="G70" s="19"/>
      <c r="H70" s="19"/>
      <c r="I70" s="19"/>
      <c r="J70" s="19"/>
      <c r="K70" s="19"/>
      <c r="L70" s="19"/>
      <c r="M70" s="2"/>
    </row>
    <row r="71" spans="1:13" ht="12" thickBot="1" x14ac:dyDescent="0.25">
      <c r="A71" s="4"/>
      <c r="B71" s="5"/>
      <c r="C71" s="220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0" type="noConversion"/>
  <pageMargins left="0.5" right="0.5" top="0.5" bottom="0.5" header="0.5" footer="0.5"/>
  <pageSetup scale="86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Q69"/>
  <sheetViews>
    <sheetView topLeftCell="C8" zoomScaleNormal="100" workbookViewId="0">
      <selection activeCell="T53" sqref="T53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7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68</v>
      </c>
      <c r="M1" s="1"/>
    </row>
    <row r="2" spans="1:17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K2"/>
      <c r="L2" s="7" t="s">
        <v>52</v>
      </c>
      <c r="M2" s="2"/>
    </row>
    <row r="3" spans="1:17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112" t="s">
        <v>240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112" t="s">
        <v>241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6"/>
      <c r="D7" s="6"/>
      <c r="E7" s="6"/>
      <c r="F7" s="6"/>
      <c r="G7" s="50"/>
      <c r="H7" s="50"/>
      <c r="I7" s="50"/>
      <c r="J7" s="50"/>
      <c r="K7" s="50"/>
      <c r="L7" s="50"/>
      <c r="M7" s="2"/>
    </row>
    <row r="8" spans="1:17" ht="12" thickTop="1" x14ac:dyDescent="0.2">
      <c r="A8"/>
      <c r="B8"/>
      <c r="C8"/>
      <c r="D8"/>
      <c r="E8"/>
      <c r="F8"/>
      <c r="G8" s="50"/>
      <c r="H8" s="50"/>
      <c r="I8" s="50"/>
      <c r="J8" s="50"/>
      <c r="K8" s="50"/>
      <c r="L8" s="50"/>
      <c r="M8" s="2"/>
      <c r="N8" t="s">
        <v>220</v>
      </c>
    </row>
    <row r="9" spans="1:17" x14ac:dyDescent="0.2">
      <c r="A9" t="s">
        <v>243</v>
      </c>
      <c r="B9"/>
      <c r="C9" s="22"/>
      <c r="D9"/>
      <c r="E9"/>
      <c r="F9"/>
      <c r="G9"/>
      <c r="H9"/>
      <c r="I9"/>
      <c r="J9"/>
      <c r="K9"/>
      <c r="L9"/>
      <c r="M9" s="2"/>
      <c r="N9" s="93">
        <v>43373</v>
      </c>
    </row>
    <row r="10" spans="1:17" x14ac:dyDescent="0.2">
      <c r="A10" t="s">
        <v>35</v>
      </c>
      <c r="B10"/>
      <c r="C10" t="s">
        <v>244</v>
      </c>
      <c r="D10" t="s">
        <v>245</v>
      </c>
      <c r="E10" t="s">
        <v>246</v>
      </c>
      <c r="F10" t="s">
        <v>136</v>
      </c>
      <c r="G10"/>
      <c r="H10"/>
      <c r="I10"/>
      <c r="J10"/>
      <c r="K10"/>
      <c r="L10"/>
      <c r="M10" s="2"/>
      <c r="O10" t="s">
        <v>247</v>
      </c>
      <c r="Q10"/>
    </row>
    <row r="11" spans="1:17" x14ac:dyDescent="0.2">
      <c r="A11" s="9" t="str">
        <f>TEXT($N$9,"m/d/xx")</f>
        <v>9/30/xx</v>
      </c>
      <c r="B11" s="9"/>
      <c r="C11" s="9" t="s">
        <v>248</v>
      </c>
      <c r="D11" s="9" t="s">
        <v>248</v>
      </c>
      <c r="E11" s="9" t="s">
        <v>249</v>
      </c>
      <c r="F11" s="9" t="s">
        <v>72</v>
      </c>
      <c r="G11"/>
      <c r="H11"/>
      <c r="I11"/>
      <c r="J11"/>
      <c r="K11"/>
      <c r="L11"/>
      <c r="M11" s="2"/>
      <c r="N11" s="9" t="s">
        <v>239</v>
      </c>
      <c r="O11" s="9" t="s">
        <v>244</v>
      </c>
      <c r="P11" s="9" t="s">
        <v>245</v>
      </c>
      <c r="Q11" s="9" t="s">
        <v>250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/>
      <c r="H12"/>
      <c r="I12"/>
      <c r="J12"/>
      <c r="K12"/>
      <c r="L12"/>
      <c r="M12" s="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t="str">
        <f t="shared" ref="A14:A21" si="0">TEXT(A15-1,"#")</f>
        <v>2009</v>
      </c>
      <c r="B14" s="25"/>
      <c r="C14" s="78">
        <f>ROUND('3.3b'!$C$52/'3.3b'!$C$16,3)</f>
        <v>1.181</v>
      </c>
      <c r="D14" s="78">
        <f>ROUND('3.3c'!$C$52/'3.3c'!$C$16,3)</f>
        <v>1.1759999999999999</v>
      </c>
      <c r="E14" s="36">
        <f>ROUND('3.3d'!$C$54/'3.3d'!$C$18,3)</f>
        <v>1.091</v>
      </c>
      <c r="F14" s="36">
        <f>ROUND(SUMPRODUCT(C14:E14,$O14:$Q14)/SUMIF(C14:E14,"&gt;0",$O14:$Q14),3)</f>
        <v>1.155</v>
      </c>
      <c r="G14"/>
      <c r="H14"/>
      <c r="I14"/>
      <c r="J14" s="36"/>
      <c r="K14" s="36"/>
      <c r="M14" s="2"/>
      <c r="N14" s="12">
        <f t="shared" ref="N14:N23" si="1">VALUE(A14)-1900</f>
        <v>109</v>
      </c>
      <c r="O14" s="131">
        <v>0</v>
      </c>
      <c r="P14" s="131">
        <v>0.75</v>
      </c>
      <c r="Q14" s="131">
        <v>0.25</v>
      </c>
    </row>
    <row r="15" spans="1:17" x14ac:dyDescent="0.2">
      <c r="A15" t="str">
        <f t="shared" si="0"/>
        <v>2010</v>
      </c>
      <c r="B15" s="25"/>
      <c r="C15" s="78">
        <f>ROUND('3.3b'!$C$52/'3.3b'!$C$20,3)</f>
        <v>1.177</v>
      </c>
      <c r="D15" s="78">
        <f>ROUND('3.3c'!$C$52/'3.3c'!$C$20,3)</f>
        <v>1.175</v>
      </c>
      <c r="E15" s="36">
        <f>ROUND('3.3d'!$C$54/'3.3d'!$C$22,3)</f>
        <v>1.095</v>
      </c>
      <c r="F15" s="36">
        <f t="shared" ref="F15:F22" si="2">ROUND(SUMPRODUCT(C15:E15,$O15:$Q15)/SUMIF(C15:E15,"&gt;0",$O15:$Q15),3)</f>
        <v>1.155</v>
      </c>
      <c r="G15"/>
      <c r="H15"/>
      <c r="I15"/>
      <c r="J15" s="36"/>
      <c r="K15" s="36"/>
      <c r="L15"/>
      <c r="M15" s="2"/>
      <c r="N15" s="12">
        <f t="shared" si="1"/>
        <v>110</v>
      </c>
      <c r="O15" s="131">
        <v>0</v>
      </c>
      <c r="P15" s="131">
        <v>0.75</v>
      </c>
      <c r="Q15" s="131">
        <v>0.25</v>
      </c>
    </row>
    <row r="16" spans="1:17" x14ac:dyDescent="0.2">
      <c r="A16" t="str">
        <f t="shared" si="0"/>
        <v>2011</v>
      </c>
      <c r="B16" s="25"/>
      <c r="C16" s="78">
        <f>ROUND('3.3b'!$C$52/'3.3b'!$C$24,3)</f>
        <v>1.163</v>
      </c>
      <c r="D16" s="78">
        <f>ROUND('3.3c'!$C$52/'3.3c'!$C$24,3)</f>
        <v>1.171</v>
      </c>
      <c r="E16" s="36">
        <f>ROUND('3.3d'!$C$54/'3.3d'!$C$26,3)</f>
        <v>1.0840000000000001</v>
      </c>
      <c r="F16" s="36">
        <f t="shared" si="2"/>
        <v>1.149</v>
      </c>
      <c r="G16"/>
      <c r="H16"/>
      <c r="I16"/>
      <c r="J16" s="36"/>
      <c r="K16" s="36"/>
      <c r="L16"/>
      <c r="M16" s="2"/>
      <c r="N16" s="12">
        <f t="shared" si="1"/>
        <v>111</v>
      </c>
      <c r="O16" s="131">
        <v>0</v>
      </c>
      <c r="P16" s="131">
        <v>0.75</v>
      </c>
      <c r="Q16" s="131">
        <v>0.25</v>
      </c>
    </row>
    <row r="17" spans="1:17" x14ac:dyDescent="0.2">
      <c r="A17" t="str">
        <f t="shared" si="0"/>
        <v>2012</v>
      </c>
      <c r="B17" s="25"/>
      <c r="C17" s="78">
        <f>ROUND('3.3b'!$C$52/'3.3b'!$C$28,3)</f>
        <v>1.1379999999999999</v>
      </c>
      <c r="D17" s="78">
        <f>ROUND('3.3c'!$C$52/'3.3c'!$C$28,3)</f>
        <v>1.1479999999999999</v>
      </c>
      <c r="E17" s="36">
        <f>ROUND('3.3d'!$C$54/'3.3d'!$C$30,3)</f>
        <v>1.06</v>
      </c>
      <c r="F17" s="36">
        <f t="shared" si="2"/>
        <v>1.1259999999999999</v>
      </c>
      <c r="G17"/>
      <c r="H17"/>
      <c r="I17"/>
      <c r="J17" s="36"/>
      <c r="K17" s="36"/>
      <c r="L17"/>
      <c r="M17" s="2"/>
      <c r="N17" s="12">
        <f t="shared" si="1"/>
        <v>112</v>
      </c>
      <c r="O17" s="131">
        <v>0</v>
      </c>
      <c r="P17" s="131">
        <v>0.75</v>
      </c>
      <c r="Q17" s="131">
        <v>0.25</v>
      </c>
    </row>
    <row r="18" spans="1:17" x14ac:dyDescent="0.2">
      <c r="A18" t="str">
        <f t="shared" si="0"/>
        <v>2013</v>
      </c>
      <c r="B18" s="25"/>
      <c r="C18" s="78">
        <f>ROUND('3.3b'!$C$52/'3.3b'!$C$32,3)</f>
        <v>1.103</v>
      </c>
      <c r="D18" s="78">
        <f>ROUND('3.3c'!$C$52/'3.3c'!$C$32,3)</f>
        <v>1.111</v>
      </c>
      <c r="E18" s="36">
        <f>ROUND('3.3d'!$C$54/'3.3d'!$C$34,3)</f>
        <v>1.0529999999999999</v>
      </c>
      <c r="F18" s="36">
        <f t="shared" si="2"/>
        <v>1.097</v>
      </c>
      <c r="G18"/>
      <c r="H18"/>
      <c r="I18"/>
      <c r="J18" s="36"/>
      <c r="K18" s="36"/>
      <c r="L18"/>
      <c r="M18" s="2"/>
      <c r="N18" s="12">
        <f t="shared" si="1"/>
        <v>113</v>
      </c>
      <c r="O18" s="131">
        <v>0</v>
      </c>
      <c r="P18" s="131">
        <v>0.75</v>
      </c>
      <c r="Q18" s="131">
        <v>0.25</v>
      </c>
    </row>
    <row r="19" spans="1:17" x14ac:dyDescent="0.2">
      <c r="A19" t="str">
        <f t="shared" si="0"/>
        <v>2014</v>
      </c>
      <c r="B19" s="25"/>
      <c r="C19" s="78">
        <f>ROUND('3.3b'!$C$52/'3.3b'!$C$36,3)</f>
        <v>1.069</v>
      </c>
      <c r="D19" s="78">
        <f>ROUND('3.3c'!$C$52/'3.3c'!$C$36,3)</f>
        <v>1.07</v>
      </c>
      <c r="E19" s="36">
        <f>ROUND('3.3d'!$C$54/'3.3d'!$C$38,3)</f>
        <v>1.0429999999999999</v>
      </c>
      <c r="F19" s="36">
        <f t="shared" si="2"/>
        <v>1.0629999999999999</v>
      </c>
      <c r="G19"/>
      <c r="H19"/>
      <c r="I19"/>
      <c r="J19" s="36"/>
      <c r="K19" s="36"/>
      <c r="L19"/>
      <c r="M19" s="2"/>
      <c r="N19" s="12">
        <f t="shared" si="1"/>
        <v>114</v>
      </c>
      <c r="O19" s="131">
        <v>0</v>
      </c>
      <c r="P19" s="131">
        <v>0.75</v>
      </c>
      <c r="Q19" s="131">
        <v>0.25</v>
      </c>
    </row>
    <row r="20" spans="1:17" x14ac:dyDescent="0.2">
      <c r="A20" t="str">
        <f t="shared" si="0"/>
        <v>2015</v>
      </c>
      <c r="B20" s="25"/>
      <c r="C20" s="78">
        <f>ROUND('3.3b'!$C$52/'3.3b'!$C$40,3)</f>
        <v>1.042</v>
      </c>
      <c r="D20" s="78">
        <f>ROUND('3.3c'!$C$52/'3.3c'!$C$40,3)</f>
        <v>1.044</v>
      </c>
      <c r="E20" s="36">
        <f>ROUND('3.3d'!$C$54/'3.3d'!$C$42,3)</f>
        <v>1.0289999999999999</v>
      </c>
      <c r="F20" s="36">
        <f t="shared" si="2"/>
        <v>1.04</v>
      </c>
      <c r="G20"/>
      <c r="H20"/>
      <c r="I20"/>
      <c r="J20" s="36"/>
      <c r="K20" s="36"/>
      <c r="L20"/>
      <c r="M20" s="2"/>
      <c r="N20" s="12">
        <f t="shared" si="1"/>
        <v>115</v>
      </c>
      <c r="O20" s="131">
        <v>0</v>
      </c>
      <c r="P20" s="131">
        <v>0.75</v>
      </c>
      <c r="Q20" s="131">
        <v>0.25</v>
      </c>
    </row>
    <row r="21" spans="1:17" x14ac:dyDescent="0.2">
      <c r="A21" t="str">
        <f t="shared" si="0"/>
        <v>2016</v>
      </c>
      <c r="B21" s="25"/>
      <c r="C21" s="78">
        <f>ROUND('3.3b'!$C$52/'3.3b'!$C$44,3)</f>
        <v>1.0489999999999999</v>
      </c>
      <c r="D21" s="78">
        <f>ROUND('3.3c'!$C$52/'3.3c'!$C$44,3)</f>
        <v>1.052</v>
      </c>
      <c r="E21" s="36">
        <f>ROUND('3.3d'!$C$54/'3.3d'!$C$46,3)</f>
        <v>1.0149999999999999</v>
      </c>
      <c r="F21" s="36">
        <f t="shared" si="2"/>
        <v>1.0429999999999999</v>
      </c>
      <c r="G21"/>
      <c r="H21"/>
      <c r="I21"/>
      <c r="J21" s="36"/>
      <c r="K21" s="36"/>
      <c r="L21"/>
      <c r="M21" s="2"/>
      <c r="N21" s="12">
        <f t="shared" si="1"/>
        <v>116</v>
      </c>
      <c r="O21" s="131">
        <v>0</v>
      </c>
      <c r="P21" s="131">
        <v>0.75</v>
      </c>
      <c r="Q21" s="131">
        <v>0.25</v>
      </c>
    </row>
    <row r="22" spans="1:17" x14ac:dyDescent="0.2">
      <c r="A22" t="str">
        <f>TEXT(A23-1,"#")</f>
        <v>2017</v>
      </c>
      <c r="B22" s="25"/>
      <c r="C22" s="78">
        <f>ROUND('3.3b'!$C$52/'3.3b'!$C$48,3)</f>
        <v>1.0369999999999999</v>
      </c>
      <c r="D22" s="78">
        <f>ROUND('3.3c'!$C$52/'3.3c'!$C$48,3)</f>
        <v>1.04</v>
      </c>
      <c r="E22" s="78">
        <f>ROUND('3.3d'!$C$54/'3.3d'!$C$50,3)</f>
        <v>1.0069999999999999</v>
      </c>
      <c r="F22" s="36">
        <f t="shared" si="2"/>
        <v>1.032</v>
      </c>
      <c r="G22"/>
      <c r="H22"/>
      <c r="I22"/>
      <c r="J22" s="36"/>
      <c r="K22" s="36"/>
      <c r="L22"/>
      <c r="M22" s="2"/>
      <c r="N22" s="12">
        <f t="shared" si="1"/>
        <v>117</v>
      </c>
      <c r="O22" s="131">
        <v>0</v>
      </c>
      <c r="P22" s="131">
        <v>0.75</v>
      </c>
      <c r="Q22" s="131">
        <v>0.25</v>
      </c>
    </row>
    <row r="23" spans="1:17" x14ac:dyDescent="0.2">
      <c r="A23" t="str">
        <f>TEXT(YEAR($N$9),"#")</f>
        <v>2018</v>
      </c>
      <c r="B23" s="25"/>
      <c r="C23" s="78">
        <f>ROUND('3.3b'!$C$52/'3.3b'!$C$52,3)</f>
        <v>1</v>
      </c>
      <c r="D23" s="78">
        <f>ROUND('3.3c'!$C$52/'3.3c'!$C$52,3)</f>
        <v>1</v>
      </c>
      <c r="E23" s="78">
        <f>ROUND('3.3d'!$C$54/'3.3d'!$C$54,3)</f>
        <v>1</v>
      </c>
      <c r="F23" s="36">
        <f>ROUND(SUMPRODUCT(C23:E23,$O23:$Q23)/SUMIF(C23:E23,"&gt;0",$O23:$Q23),3)</f>
        <v>1</v>
      </c>
      <c r="G23"/>
      <c r="H23"/>
      <c r="I23"/>
      <c r="J23" s="36"/>
      <c r="K23" s="36"/>
      <c r="L23"/>
      <c r="M23" s="2"/>
      <c r="N23" s="12">
        <f t="shared" si="1"/>
        <v>118</v>
      </c>
      <c r="O23" s="131">
        <v>0</v>
      </c>
      <c r="P23" s="131">
        <v>0.75</v>
      </c>
      <c r="Q23" s="131">
        <v>0.25</v>
      </c>
    </row>
    <row r="24" spans="1:17" x14ac:dyDescent="0.2">
      <c r="A24" s="9"/>
      <c r="B24" s="26"/>
      <c r="C24" s="37"/>
      <c r="D24" s="37"/>
      <c r="E24" s="37"/>
      <c r="F24" s="37"/>
      <c r="G24" s="108"/>
      <c r="H24" s="49"/>
      <c r="I24" s="49"/>
      <c r="J24" s="66"/>
      <c r="K24" s="66"/>
      <c r="L24" s="66"/>
      <c r="M24" s="2"/>
    </row>
    <row r="25" spans="1:17" x14ac:dyDescent="0.2">
      <c r="A25" s="50"/>
      <c r="B25" s="50"/>
      <c r="C25" s="60"/>
      <c r="D25" s="50"/>
      <c r="E25" s="50"/>
      <c r="F25" s="50"/>
      <c r="G25"/>
      <c r="H25"/>
      <c r="I25"/>
      <c r="J25"/>
      <c r="K25"/>
      <c r="L25"/>
      <c r="M25" s="2"/>
      <c r="Q25"/>
    </row>
    <row r="26" spans="1:17" x14ac:dyDescent="0.2">
      <c r="A26" s="12" t="s">
        <v>251</v>
      </c>
      <c r="H26"/>
      <c r="I26"/>
      <c r="J26"/>
      <c r="K26"/>
      <c r="L26"/>
      <c r="M26" s="2"/>
    </row>
    <row r="27" spans="1:17" x14ac:dyDescent="0.2">
      <c r="B27"/>
      <c r="C27" s="113"/>
      <c r="D27" s="113"/>
      <c r="E27" s="113"/>
      <c r="F27" s="114"/>
      <c r="G27"/>
      <c r="H27"/>
      <c r="I27"/>
      <c r="J27"/>
      <c r="K27"/>
      <c r="L27"/>
      <c r="M27" s="2"/>
    </row>
    <row r="28" spans="1:17" x14ac:dyDescent="0.2">
      <c r="A28" s="109" t="s">
        <v>127</v>
      </c>
      <c r="B28" t="s">
        <v>252</v>
      </c>
      <c r="C28" s="79">
        <f>ROUND('3.3b'!$G$56,3)</f>
        <v>1.4E-2</v>
      </c>
      <c r="D28" s="79">
        <f>ROUND('3.3c'!$G$56,3)</f>
        <v>1.4E-2</v>
      </c>
      <c r="E28" s="79">
        <f>ROUND('3.3d'!$G$58,3)</f>
        <v>1.0999999999999999E-2</v>
      </c>
      <c r="F28" s="79">
        <f>ROUND(SUMPRODUCT(C28:E28,$O28:$Q28)/SUMIF(C28:E28,"&gt;0",$O28:$Q28),3)</f>
        <v>1.2999999999999999E-2</v>
      </c>
      <c r="G28"/>
      <c r="H28"/>
      <c r="I28"/>
      <c r="J28"/>
      <c r="K28"/>
      <c r="L28"/>
      <c r="M28" s="2"/>
      <c r="O28" s="131">
        <v>0</v>
      </c>
      <c r="P28" s="131">
        <v>0.75</v>
      </c>
      <c r="Q28" s="131">
        <v>0.25</v>
      </c>
    </row>
    <row r="29" spans="1:17" x14ac:dyDescent="0.2">
      <c r="A29" s="115"/>
      <c r="B29" s="116"/>
      <c r="C29" s="50"/>
      <c r="D29" s="50"/>
      <c r="E29" s="50"/>
      <c r="F29" s="29"/>
      <c r="G29" s="50"/>
      <c r="H29" s="50"/>
      <c r="I29" s="50"/>
      <c r="J29" s="50"/>
      <c r="K29" s="50"/>
      <c r="L29" s="50"/>
      <c r="M29" s="2"/>
    </row>
    <row r="30" spans="1:17" x14ac:dyDescent="0.2">
      <c r="A30" s="109" t="s">
        <v>126</v>
      </c>
      <c r="B30" s="116" t="s">
        <v>254</v>
      </c>
      <c r="C30" s="108">
        <f>ROUND((1+C28)^$N$32,3)</f>
        <v>1.0389999999999999</v>
      </c>
      <c r="D30" s="108">
        <f>ROUND((1+D28)^$N$32,3)</f>
        <v>1.0389999999999999</v>
      </c>
      <c r="E30" s="108">
        <f>ROUND((1+E28)^$N$32,3)</f>
        <v>1.0309999999999999</v>
      </c>
      <c r="F30" s="108">
        <f>ROUND((1+F28)^$N$32,3)</f>
        <v>1.036</v>
      </c>
      <c r="G30" s="50"/>
      <c r="H30" s="50"/>
      <c r="I30" s="50"/>
      <c r="J30" s="50"/>
      <c r="K30" s="50"/>
      <c r="L30" s="50"/>
      <c r="M30" s="2"/>
      <c r="O30" s="12" t="s">
        <v>253</v>
      </c>
    </row>
    <row r="31" spans="1:17" ht="12" thickBot="1" x14ac:dyDescent="0.25">
      <c r="A31" s="6"/>
      <c r="B31" s="6"/>
      <c r="C31" s="6"/>
      <c r="D31" s="6"/>
      <c r="E31" s="6"/>
      <c r="F31" s="6"/>
      <c r="G31" s="50"/>
      <c r="H31" s="50"/>
      <c r="I31" s="50"/>
      <c r="J31" s="50"/>
      <c r="K31" s="50"/>
      <c r="L31" s="50"/>
      <c r="M31" s="2"/>
      <c r="N31" s="12" t="s">
        <v>225</v>
      </c>
      <c r="O31" s="200" t="s">
        <v>232</v>
      </c>
      <c r="P31" s="200" t="s">
        <v>233</v>
      </c>
    </row>
    <row r="32" spans="1:17" ht="12" thickTop="1" x14ac:dyDescent="0.2">
      <c r="A32"/>
      <c r="B32"/>
      <c r="C32"/>
      <c r="D32"/>
      <c r="E32"/>
      <c r="F32"/>
      <c r="G32" s="50"/>
      <c r="H32" s="50"/>
      <c r="I32" s="50"/>
      <c r="J32" s="50"/>
      <c r="K32" s="50"/>
      <c r="L32" s="50"/>
      <c r="M32" s="2"/>
      <c r="N32" s="117">
        <f>YEAR(P32)-YEAR(O32)+(MONTH(P32)-MONTH(O32))/12</f>
        <v>2.75</v>
      </c>
      <c r="O32" s="256">
        <f>DATE(YEAR(N9+1),MONTH(N9+1)-6,1)</f>
        <v>43191</v>
      </c>
      <c r="P32" s="256">
        <f>'trend 2.5'!$I$15</f>
        <v>44197</v>
      </c>
    </row>
    <row r="33" spans="1:17" x14ac:dyDescent="0.2">
      <c r="A33" t="s">
        <v>18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7" x14ac:dyDescent="0.2">
      <c r="A34"/>
      <c r="B34" s="22" t="str">
        <f>C12&amp;" = "&amp;'3.3b'!$L$1&amp;", "&amp;'3.3b'!$L$2&amp;" trended forward to "&amp;TEXT($N$9,"m/d/yyyy")</f>
        <v>(2) = Exhibit 3, Sheet 3b trended forward to 9/30/2018</v>
      </c>
      <c r="F34"/>
      <c r="G34"/>
      <c r="J34"/>
      <c r="K34"/>
      <c r="L34"/>
      <c r="M34" s="2"/>
    </row>
    <row r="35" spans="1:17" x14ac:dyDescent="0.2">
      <c r="A35"/>
      <c r="B35" s="22" t="str">
        <f>D12&amp;" = "&amp;'3.3c'!$L$1&amp;", "&amp;'3.3c'!$L$2&amp;" trended forward to "&amp;TEXT($N$9,"m/d/yyyy")</f>
        <v>(3) = Exhibit 3, Sheet 3c trended forward to 9/30/2018</v>
      </c>
      <c r="C35"/>
      <c r="D35"/>
      <c r="E35"/>
      <c r="F35"/>
      <c r="H35"/>
      <c r="I35"/>
      <c r="J35"/>
      <c r="K35"/>
      <c r="L35"/>
      <c r="M35" s="2"/>
    </row>
    <row r="36" spans="1:17" x14ac:dyDescent="0.2">
      <c r="A36"/>
      <c r="B36" s="22" t="str">
        <f>E12&amp;" = "&amp;'3.3d'!$L$1&amp;", "&amp;'3.3d'!$L$2</f>
        <v>(4) = Exhibit 3, Sheet 3d</v>
      </c>
      <c r="D36"/>
      <c r="E36"/>
      <c r="F36"/>
      <c r="H36"/>
      <c r="I36"/>
      <c r="J36"/>
      <c r="K36"/>
      <c r="L36"/>
      <c r="M36" s="2"/>
    </row>
    <row r="37" spans="1:17" x14ac:dyDescent="0.2">
      <c r="A37"/>
      <c r="B37" s="22" t="str">
        <f>F12&amp;" = 25% "&amp;E11&amp;" and 75% "&amp;D11&amp;" (most appropriate available by year)"</f>
        <v>(5) = 25% CPI and 75% Boeckh (most appropriate available by year)</v>
      </c>
      <c r="C37"/>
      <c r="D37"/>
      <c r="E37"/>
      <c r="F37"/>
      <c r="H37"/>
      <c r="I37"/>
      <c r="J37"/>
      <c r="K37"/>
      <c r="L37"/>
      <c r="M37" s="2"/>
    </row>
    <row r="38" spans="1:17" x14ac:dyDescent="0.2">
      <c r="B38" s="12" t="str">
        <f>A28&amp;" = "&amp;C12&amp;" - "&amp;F12&amp;" fitted to an exponential curve using 5 years' data"</f>
        <v>(6) = (2) - (5) fitted to an exponential curve using 5 years' data</v>
      </c>
      <c r="L38"/>
      <c r="M38" s="2"/>
    </row>
    <row r="39" spans="1:17" x14ac:dyDescent="0.2">
      <c r="A39" s="118"/>
      <c r="B39" s="116" t="str">
        <f>A30&amp;" = [1 + "&amp;A28&amp;"] ^ "&amp;$N$32&amp;" (trended from "&amp;TEXT($O$32,"m/d/yyyy")&amp;" to "&amp;TEXT($P$32,"m/d/yyyy")&amp;")"</f>
        <v>(7) = [1 + (6)] ^ 2.75 (trended from 4/1/2018 to 1/1/2021)</v>
      </c>
      <c r="C39" s="106"/>
      <c r="D39" s="107"/>
      <c r="E39" s="107"/>
      <c r="F39" s="36"/>
      <c r="G39" s="108"/>
      <c r="H39" s="49"/>
      <c r="I39" s="49"/>
      <c r="J39" s="66"/>
      <c r="K39" s="66"/>
      <c r="L39" s="66"/>
      <c r="M39" s="2"/>
    </row>
    <row r="40" spans="1:17" x14ac:dyDescent="0.2">
      <c r="A40" s="118"/>
      <c r="B40" s="116"/>
      <c r="C40" s="106"/>
      <c r="D40" s="107"/>
      <c r="E40" s="107"/>
      <c r="F40" s="29"/>
      <c r="G40" s="108"/>
      <c r="H40" s="49"/>
      <c r="I40" s="49"/>
      <c r="J40" s="66"/>
      <c r="K40" s="66"/>
      <c r="L40" s="66"/>
      <c r="M40" s="2"/>
    </row>
    <row r="41" spans="1:17" x14ac:dyDescent="0.2">
      <c r="A41" s="119"/>
      <c r="B41" s="116"/>
      <c r="C41" s="106"/>
      <c r="D41" s="107"/>
      <c r="E41" s="107"/>
      <c r="F41" s="29"/>
      <c r="G41" s="108"/>
      <c r="H41" s="49"/>
      <c r="I41" s="49"/>
      <c r="J41" s="66"/>
      <c r="K41" s="66"/>
      <c r="L41" s="66"/>
      <c r="M41" s="2"/>
    </row>
    <row r="42" spans="1:17" x14ac:dyDescent="0.2">
      <c r="A42" s="50"/>
      <c r="B42" s="50"/>
      <c r="C42" s="66"/>
      <c r="D42" s="66"/>
      <c r="E42" s="66"/>
      <c r="F42" s="66"/>
      <c r="G42"/>
      <c r="H42"/>
      <c r="I42"/>
      <c r="J42"/>
      <c r="K42"/>
      <c r="L42"/>
      <c r="M42" s="2"/>
      <c r="Q42"/>
    </row>
    <row r="43" spans="1:17" x14ac:dyDescent="0.2">
      <c r="A43" s="119"/>
      <c r="B43" s="116"/>
      <c r="C43" s="106"/>
      <c r="D43" s="107"/>
      <c r="E43" s="107"/>
      <c r="F43" s="29"/>
      <c r="G43" s="108"/>
      <c r="H43" s="49"/>
      <c r="I43" s="49"/>
      <c r="J43" s="66"/>
      <c r="K43" s="66"/>
      <c r="L43" s="66"/>
      <c r="M43" s="2"/>
    </row>
    <row r="44" spans="1:17" x14ac:dyDescent="0.2">
      <c r="A44" s="50"/>
      <c r="B44" s="51"/>
      <c r="C44" s="106"/>
      <c r="D44" s="107"/>
      <c r="E44" s="107"/>
      <c r="F44" s="29"/>
      <c r="G44" s="108"/>
      <c r="H44" s="49"/>
      <c r="I44" s="49"/>
      <c r="J44" s="66"/>
      <c r="K44" s="66"/>
      <c r="L44" s="66"/>
      <c r="M44" s="2"/>
    </row>
    <row r="45" spans="1:17" x14ac:dyDescent="0.2">
      <c r="A45" s="119"/>
      <c r="B45" s="51"/>
      <c r="C45" s="106"/>
      <c r="D45" s="107"/>
      <c r="E45" s="107"/>
      <c r="F45" s="29"/>
      <c r="G45" s="108"/>
      <c r="H45" s="49"/>
      <c r="I45" s="49"/>
      <c r="J45" s="66"/>
      <c r="K45" s="66"/>
      <c r="L45" s="66"/>
      <c r="M45" s="2"/>
    </row>
    <row r="46" spans="1:17" x14ac:dyDescent="0.2">
      <c r="A46"/>
      <c r="B46" s="22"/>
      <c r="C46"/>
      <c r="D46"/>
      <c r="E46"/>
      <c r="F46"/>
      <c r="G46"/>
      <c r="H46"/>
      <c r="I46"/>
      <c r="L46"/>
      <c r="M46" s="2"/>
    </row>
    <row r="47" spans="1:17" x14ac:dyDescent="0.2">
      <c r="A47"/>
      <c r="B47" s="22"/>
      <c r="C47"/>
      <c r="D47"/>
      <c r="E47"/>
      <c r="F47"/>
      <c r="H47"/>
      <c r="I47"/>
      <c r="J47"/>
      <c r="K47"/>
      <c r="L47"/>
      <c r="M47" s="2"/>
    </row>
    <row r="48" spans="1:17" x14ac:dyDescent="0.2">
      <c r="A48" s="50"/>
      <c r="B48" s="22"/>
      <c r="C48" s="106"/>
      <c r="D48" s="107"/>
      <c r="E48" s="107"/>
      <c r="F48" s="108"/>
      <c r="G48" s="108"/>
      <c r="H48" s="49"/>
      <c r="I48" s="49"/>
      <c r="J48" s="66"/>
      <c r="K48" s="66"/>
      <c r="L48" s="66"/>
      <c r="M48" s="2"/>
    </row>
    <row r="49" spans="1:13" x14ac:dyDescent="0.2">
      <c r="A49" s="50"/>
      <c r="B49" s="22"/>
      <c r="C49" s="106"/>
      <c r="D49" s="107"/>
      <c r="E49" s="107"/>
      <c r="F49" s="108"/>
      <c r="G49" s="108"/>
      <c r="H49" s="49"/>
      <c r="I49" s="49"/>
      <c r="J49" s="66"/>
      <c r="K49" s="66"/>
      <c r="L49" s="66"/>
      <c r="M49" s="2"/>
    </row>
    <row r="50" spans="1:13" x14ac:dyDescent="0.2">
      <c r="A50" s="50"/>
      <c r="B50" s="22"/>
      <c r="C50" s="106"/>
      <c r="D50" s="107"/>
      <c r="E50" s="107"/>
      <c r="F50" s="108"/>
      <c r="G50" s="108"/>
      <c r="H50" s="49"/>
      <c r="I50" s="49"/>
      <c r="J50" s="66"/>
      <c r="K50" s="66"/>
      <c r="L50" s="66"/>
      <c r="M50" s="2"/>
    </row>
    <row r="51" spans="1:13" x14ac:dyDescent="0.2">
      <c r="A51" s="50"/>
      <c r="B51" s="22"/>
      <c r="C51" s="60"/>
      <c r="D51" s="50"/>
      <c r="E51" s="50"/>
      <c r="F51" s="50"/>
      <c r="G51" s="60"/>
      <c r="H51" s="60"/>
      <c r="I51" s="60"/>
      <c r="J51" s="60"/>
      <c r="K51" s="60"/>
      <c r="L51" s="50"/>
      <c r="M51" s="2"/>
    </row>
    <row r="52" spans="1:13" x14ac:dyDescent="0.2">
      <c r="A52" s="50"/>
      <c r="C52" s="60"/>
      <c r="D52" s="60"/>
      <c r="E52" s="50"/>
      <c r="F52" s="60"/>
      <c r="G52" s="60"/>
      <c r="H52" s="60"/>
      <c r="I52" s="60"/>
      <c r="J52" s="66"/>
      <c r="K52" s="66"/>
      <c r="L52"/>
      <c r="M52" s="2"/>
    </row>
    <row r="53" spans="1:13" x14ac:dyDescent="0.2">
      <c r="A53" s="118"/>
      <c r="B53" s="116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Q63"/>
  <sheetViews>
    <sheetView topLeftCell="A25" zoomScaleNormal="100" workbookViewId="0">
      <selection activeCell="N69" sqref="N69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7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68</v>
      </c>
      <c r="M1" s="1"/>
    </row>
    <row r="2" spans="1:17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58</v>
      </c>
      <c r="M2" s="2"/>
    </row>
    <row r="3" spans="1:17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112" t="s">
        <v>240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112" t="s">
        <v>255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7" ht="12" thickTop="1" x14ac:dyDescent="0.2">
      <c r="A8"/>
      <c r="B8"/>
      <c r="C8"/>
      <c r="D8"/>
      <c r="E8"/>
      <c r="F8"/>
      <c r="G8" s="50"/>
      <c r="H8"/>
      <c r="I8" s="50"/>
      <c r="J8"/>
      <c r="K8" s="50"/>
      <c r="L8" s="50"/>
      <c r="M8" s="2"/>
      <c r="N8" t="s">
        <v>242</v>
      </c>
    </row>
    <row r="9" spans="1:17" x14ac:dyDescent="0.2">
      <c r="A9"/>
      <c r="B9"/>
      <c r="C9" s="22" t="s">
        <v>256</v>
      </c>
      <c r="D9" s="10" t="s">
        <v>257</v>
      </c>
      <c r="E9"/>
      <c r="F9"/>
      <c r="G9"/>
      <c r="H9"/>
      <c r="I9"/>
      <c r="J9"/>
      <c r="K9"/>
      <c r="L9"/>
      <c r="M9" s="2"/>
      <c r="N9" s="93">
        <v>43465</v>
      </c>
    </row>
    <row r="10" spans="1:17" x14ac:dyDescent="0.2">
      <c r="A10" t="s">
        <v>243</v>
      </c>
      <c r="B10"/>
      <c r="C10" t="s">
        <v>244</v>
      </c>
      <c r="D10" t="s">
        <v>258</v>
      </c>
      <c r="E10"/>
      <c r="F10" t="s">
        <v>259</v>
      </c>
      <c r="G10"/>
      <c r="H10" t="s">
        <v>260</v>
      </c>
      <c r="I10"/>
      <c r="J10" t="s">
        <v>261</v>
      </c>
      <c r="K10"/>
      <c r="L10"/>
      <c r="M10" s="2"/>
      <c r="P10"/>
      <c r="Q10"/>
    </row>
    <row r="11" spans="1:17" x14ac:dyDescent="0.2">
      <c r="A11" s="9" t="s">
        <v>35</v>
      </c>
      <c r="B11" s="9"/>
      <c r="C11" s="9" t="s">
        <v>239</v>
      </c>
      <c r="D11" s="9" t="s">
        <v>262</v>
      </c>
      <c r="E11" s="9" t="s">
        <v>263</v>
      </c>
      <c r="F11" s="9" t="s">
        <v>262</v>
      </c>
      <c r="G11" s="9" t="s">
        <v>263</v>
      </c>
      <c r="H11" s="9" t="s">
        <v>262</v>
      </c>
      <c r="I11" s="9" t="s">
        <v>263</v>
      </c>
      <c r="J11" s="9" t="s">
        <v>262</v>
      </c>
      <c r="K11" s="9" t="s">
        <v>263</v>
      </c>
      <c r="L11" s="50"/>
      <c r="M11" s="2"/>
      <c r="N11" s="9" t="s">
        <v>239</v>
      </c>
      <c r="Q11"/>
    </row>
    <row r="12" spans="1:17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  <c r="O13"/>
      <c r="Q13"/>
    </row>
    <row r="14" spans="1:17" x14ac:dyDescent="0.2">
      <c r="A14" s="12" t="str">
        <f t="shared" ref="A14:A51" si="1">TEXT(DATE(YEAR(A15+1),MONTH(A15+1)-3,1)-1,"m/d/yyyy")</f>
        <v>3/31/2009</v>
      </c>
      <c r="B14" s="25"/>
      <c r="C14" s="236">
        <f>'[2]Boeckh (R)'!$D50</f>
        <v>2017.7360107812501</v>
      </c>
      <c r="D14" s="121">
        <f>TREND($C$14:$C$53,$N$14:$N$53,$N14,TRUE)</f>
        <v>1997.0739054529404</v>
      </c>
      <c r="E14" s="121">
        <f>GROWTH($C$14:$C$53,$N$14:$N$53,$N14,TRUE)</f>
        <v>2003.0158426922148</v>
      </c>
      <c r="F14" s="36"/>
      <c r="G14"/>
      <c r="H14" s="36"/>
      <c r="I14"/>
      <c r="J14" s="36"/>
      <c r="K14"/>
      <c r="L14"/>
      <c r="M14" s="2"/>
      <c r="N14" s="12">
        <f t="shared" ref="N14:N53" si="2">YEAR(A14)+MONTH(A14)/12</f>
        <v>2009.25</v>
      </c>
      <c r="O14"/>
      <c r="Q14"/>
    </row>
    <row r="15" spans="1:17" x14ac:dyDescent="0.2">
      <c r="A15" s="12" t="str">
        <f t="shared" si="1"/>
        <v>6/30/2009</v>
      </c>
      <c r="B15" s="25"/>
      <c r="C15" s="236">
        <f>'[2]Boeckh (R)'!$D51</f>
        <v>2034.7849812500001</v>
      </c>
      <c r="D15" s="121">
        <f t="shared" ref="D15:D53" si="3">TREND($C$14:$C$53,$N$14:$N$53,$N15,TRUE)</f>
        <v>2007.6701144786493</v>
      </c>
      <c r="E15" s="121">
        <f t="shared" ref="E15:E53" si="4">GROWTH($C$14:$C$53,$N$14:$N$53,$N15,TRUE)</f>
        <v>2012.6821673993402</v>
      </c>
      <c r="F15" s="36"/>
      <c r="G15"/>
      <c r="H15" s="36"/>
      <c r="I15"/>
      <c r="J15" s="36"/>
      <c r="K15"/>
      <c r="L15"/>
      <c r="M15" s="2"/>
      <c r="N15" s="12">
        <f t="shared" si="2"/>
        <v>2009.5</v>
      </c>
      <c r="O15" s="17"/>
      <c r="P15" s="17"/>
      <c r="Q15" s="17"/>
    </row>
    <row r="16" spans="1:17" x14ac:dyDescent="0.2">
      <c r="A16" s="12" t="str">
        <f t="shared" si="1"/>
        <v>9/30/2009</v>
      </c>
      <c r="B16" s="25"/>
      <c r="C16" s="236">
        <f>'[2]Boeckh (R)'!$D52</f>
        <v>2043.2161928125001</v>
      </c>
      <c r="D16" s="121">
        <f t="shared" si="3"/>
        <v>2018.2663235043583</v>
      </c>
      <c r="E16" s="121">
        <f t="shared" si="4"/>
        <v>2022.3951406807419</v>
      </c>
      <c r="F16" s="36"/>
      <c r="G16"/>
      <c r="H16" s="36"/>
      <c r="I16"/>
      <c r="J16" s="36"/>
      <c r="K16"/>
      <c r="L16"/>
      <c r="M16" s="2"/>
      <c r="N16" s="12">
        <f t="shared" si="2"/>
        <v>2009.75</v>
      </c>
      <c r="O16"/>
      <c r="Q16"/>
    </row>
    <row r="17" spans="1:17" x14ac:dyDescent="0.2">
      <c r="A17" s="12" t="str">
        <f t="shared" si="1"/>
        <v>12/31/2009</v>
      </c>
      <c r="B17" s="25"/>
      <c r="C17" s="236">
        <f>'[2]Boeckh (R)'!$D53</f>
        <v>2046.4801010156252</v>
      </c>
      <c r="D17" s="121">
        <f t="shared" si="3"/>
        <v>2028.8625325300673</v>
      </c>
      <c r="E17" s="121">
        <f t="shared" si="4"/>
        <v>2032.154987657118</v>
      </c>
      <c r="F17" s="36"/>
      <c r="G17"/>
      <c r="H17" s="36"/>
      <c r="I17"/>
      <c r="J17" s="36"/>
      <c r="K17"/>
      <c r="L17"/>
      <c r="M17" s="2"/>
      <c r="N17" s="12">
        <f t="shared" si="2"/>
        <v>2010</v>
      </c>
      <c r="O17"/>
      <c r="Q17"/>
    </row>
    <row r="18" spans="1:17" x14ac:dyDescent="0.2">
      <c r="A18" s="12" t="str">
        <f t="shared" si="1"/>
        <v>3/31/2010</v>
      </c>
      <c r="B18" s="25"/>
      <c r="C18" s="236">
        <f>'[2]Boeckh (R)'!$D54</f>
        <v>2047.158558046875</v>
      </c>
      <c r="D18" s="121">
        <f t="shared" si="3"/>
        <v>2039.4587415557762</v>
      </c>
      <c r="E18" s="121">
        <f t="shared" si="4"/>
        <v>2041.9619345355143</v>
      </c>
      <c r="F18" s="36"/>
      <c r="G18"/>
      <c r="H18" s="36"/>
      <c r="I18"/>
      <c r="J18" s="36"/>
      <c r="K18"/>
      <c r="L18"/>
      <c r="M18" s="2"/>
      <c r="N18" s="12">
        <f t="shared" si="2"/>
        <v>2010.25</v>
      </c>
      <c r="Q18"/>
    </row>
    <row r="19" spans="1:17" x14ac:dyDescent="0.2">
      <c r="A19" s="12" t="str">
        <f t="shared" si="1"/>
        <v>6/30/2010</v>
      </c>
      <c r="B19" s="25"/>
      <c r="C19" s="236">
        <f>'[2]Boeckh (R)'!$D55</f>
        <v>2046.0564072656248</v>
      </c>
      <c r="D19" s="121">
        <f t="shared" si="3"/>
        <v>2050.0549505814852</v>
      </c>
      <c r="E19" s="121">
        <f t="shared" si="4"/>
        <v>2051.8162086146708</v>
      </c>
      <c r="F19" s="36"/>
      <c r="G19"/>
      <c r="H19" s="36"/>
      <c r="I19"/>
      <c r="J19" s="36"/>
      <c r="K19"/>
      <c r="L19"/>
      <c r="M19" s="2"/>
      <c r="N19" s="12">
        <f t="shared" si="2"/>
        <v>2010.5</v>
      </c>
      <c r="Q19"/>
    </row>
    <row r="20" spans="1:17" x14ac:dyDescent="0.2">
      <c r="A20" s="12" t="str">
        <f t="shared" si="1"/>
        <v>9/30/2010</v>
      </c>
      <c r="B20" s="25"/>
      <c r="C20" s="236">
        <f>'[2]Boeckh (R)'!$D56</f>
        <v>2050.4328481822913</v>
      </c>
      <c r="D20" s="121">
        <f t="shared" si="3"/>
        <v>2060.6511596071941</v>
      </c>
      <c r="E20" s="121">
        <f t="shared" si="4"/>
        <v>2061.7180382902434</v>
      </c>
      <c r="F20" s="36"/>
      <c r="G20"/>
      <c r="H20" s="36"/>
      <c r="I20"/>
      <c r="J20" s="36"/>
      <c r="K20"/>
      <c r="L20"/>
      <c r="M20" s="2"/>
      <c r="N20" s="12">
        <f t="shared" si="2"/>
        <v>2010.75</v>
      </c>
      <c r="Q20"/>
    </row>
    <row r="21" spans="1:17" x14ac:dyDescent="0.2">
      <c r="A21" s="12" t="str">
        <f t="shared" si="1"/>
        <v>12/31/2010</v>
      </c>
      <c r="B21" s="25"/>
      <c r="C21" s="236">
        <f>'[2]Boeckh (R)'!$D57</f>
        <v>2057.859776813244</v>
      </c>
      <c r="D21" s="121">
        <f>TREND($C$14:$C$53,$N$14:$N$53,$N21,TRUE)</f>
        <v>2071.2473686329176</v>
      </c>
      <c r="E21" s="121">
        <f t="shared" si="4"/>
        <v>2071.6676530600571</v>
      </c>
      <c r="F21" s="36"/>
      <c r="G21"/>
      <c r="H21" s="36"/>
      <c r="I21"/>
      <c r="J21" s="36"/>
      <c r="K21"/>
      <c r="L21"/>
      <c r="M21" s="2"/>
      <c r="N21" s="12">
        <f t="shared" si="2"/>
        <v>2011</v>
      </c>
      <c r="Q21"/>
    </row>
    <row r="22" spans="1:17" x14ac:dyDescent="0.2">
      <c r="A22" s="12" t="str">
        <f t="shared" si="1"/>
        <v>3/31/2011</v>
      </c>
      <c r="B22" s="25"/>
      <c r="C22" s="236">
        <f>'[2]Boeckh (R)'!$D58</f>
        <v>2065.0128565796131</v>
      </c>
      <c r="D22" s="121">
        <f t="shared" si="3"/>
        <v>2081.8435776586266</v>
      </c>
      <c r="E22" s="121">
        <f t="shared" si="4"/>
        <v>2081.6652835295254</v>
      </c>
      <c r="F22" s="36"/>
      <c r="G22"/>
      <c r="H22" s="36"/>
      <c r="I22"/>
      <c r="J22" s="36"/>
      <c r="K22"/>
      <c r="L22"/>
      <c r="M22" s="2"/>
      <c r="N22" s="12">
        <f t="shared" si="2"/>
        <v>2011.25</v>
      </c>
      <c r="Q22"/>
    </row>
    <row r="23" spans="1:17" x14ac:dyDescent="0.2">
      <c r="A23" s="12" t="str">
        <f t="shared" si="1"/>
        <v>6/30/2011</v>
      </c>
      <c r="B23" s="51"/>
      <c r="C23" s="236">
        <f>'[2]Boeckh (R)'!$D59</f>
        <v>2070.1198159620535</v>
      </c>
      <c r="D23" s="121">
        <f t="shared" si="3"/>
        <v>2092.4397866843356</v>
      </c>
      <c r="E23" s="121">
        <f t="shared" si="4"/>
        <v>2091.7111614168771</v>
      </c>
      <c r="F23" s="36"/>
      <c r="G23"/>
      <c r="H23" s="36"/>
      <c r="I23"/>
      <c r="J23" s="36"/>
      <c r="K23"/>
      <c r="L23"/>
      <c r="M23" s="2"/>
      <c r="N23" s="12">
        <f t="shared" si="2"/>
        <v>2011.5</v>
      </c>
      <c r="Q23"/>
    </row>
    <row r="24" spans="1:17" x14ac:dyDescent="0.2">
      <c r="A24" s="12" t="str">
        <f t="shared" si="1"/>
        <v>9/30/2011</v>
      </c>
      <c r="B24"/>
      <c r="C24" s="236">
        <f>'[2]Boeckh (R)'!$D60</f>
        <v>2075.6810965818454</v>
      </c>
      <c r="D24" s="121">
        <f t="shared" si="3"/>
        <v>2103.0359957100445</v>
      </c>
      <c r="E24" s="121">
        <f t="shared" si="4"/>
        <v>2101.8055195586467</v>
      </c>
      <c r="F24"/>
      <c r="G24"/>
      <c r="H24"/>
      <c r="I24"/>
      <c r="J24"/>
      <c r="K24"/>
      <c r="L24"/>
      <c r="M24" s="2"/>
      <c r="N24" s="12">
        <f t="shared" si="2"/>
        <v>2011.75</v>
      </c>
      <c r="Q24"/>
    </row>
    <row r="25" spans="1:17" x14ac:dyDescent="0.2">
      <c r="A25" s="12" t="str">
        <f t="shared" si="1"/>
        <v>12/31/2011</v>
      </c>
      <c r="B25"/>
      <c r="C25" s="236">
        <f>'[2]Boeckh (R)'!$D61</f>
        <v>2083.0801083154765</v>
      </c>
      <c r="D25" s="121">
        <f t="shared" si="3"/>
        <v>2113.6322047357535</v>
      </c>
      <c r="E25" s="121">
        <f t="shared" si="4"/>
        <v>2111.948591914952</v>
      </c>
      <c r="F25"/>
      <c r="G25"/>
      <c r="H25"/>
      <c r="I25"/>
      <c r="J25"/>
      <c r="K25"/>
      <c r="L25"/>
      <c r="M25" s="2"/>
      <c r="N25" s="12">
        <f t="shared" si="2"/>
        <v>2012</v>
      </c>
      <c r="Q25"/>
    </row>
    <row r="26" spans="1:17" x14ac:dyDescent="0.2">
      <c r="A26" s="12" t="str">
        <f t="shared" si="1"/>
        <v>3/31/2012</v>
      </c>
      <c r="B26"/>
      <c r="C26" s="236">
        <f>'[2]Boeckh (R)'!$D62</f>
        <v>2092.604635111607</v>
      </c>
      <c r="D26" s="121">
        <f t="shared" si="3"/>
        <v>2124.2284137614624</v>
      </c>
      <c r="E26" s="121">
        <f t="shared" si="4"/>
        <v>2122.140613575034</v>
      </c>
      <c r="F26"/>
      <c r="G26"/>
      <c r="H26"/>
      <c r="I26"/>
      <c r="J26"/>
      <c r="K26"/>
      <c r="L26"/>
      <c r="M26" s="2"/>
      <c r="N26" s="12">
        <f t="shared" si="2"/>
        <v>2012.25</v>
      </c>
    </row>
    <row r="27" spans="1:17" x14ac:dyDescent="0.2">
      <c r="A27" s="12" t="str">
        <f t="shared" si="1"/>
        <v>6/30/2012</v>
      </c>
      <c r="B27"/>
      <c r="C27" s="236">
        <f>'[2]Boeckh (R)'!$D63</f>
        <v>2103.5973240104167</v>
      </c>
      <c r="D27" s="121">
        <f t="shared" si="3"/>
        <v>2134.8246227871714</v>
      </c>
      <c r="E27" s="121">
        <f t="shared" si="4"/>
        <v>2132.3818207625877</v>
      </c>
      <c r="F27"/>
      <c r="G27"/>
      <c r="H27"/>
      <c r="I27"/>
      <c r="J27"/>
      <c r="K27"/>
      <c r="L27"/>
      <c r="M27" s="2"/>
      <c r="N27" s="12">
        <f t="shared" si="2"/>
        <v>2012.5</v>
      </c>
    </row>
    <row r="28" spans="1:17" x14ac:dyDescent="0.2">
      <c r="A28" s="12" t="str">
        <f t="shared" si="1"/>
        <v>9/30/2012</v>
      </c>
      <c r="B28"/>
      <c r="C28" s="236">
        <f>'[2]Boeckh (R)'!$D64</f>
        <v>2121.3863972395829</v>
      </c>
      <c r="D28" s="121">
        <f t="shared" si="3"/>
        <v>2145.4208318128804</v>
      </c>
      <c r="E28" s="121">
        <f t="shared" si="4"/>
        <v>2142.6724508413581</v>
      </c>
      <c r="F28"/>
      <c r="G28"/>
      <c r="H28"/>
      <c r="I28"/>
      <c r="J28"/>
      <c r="K28"/>
      <c r="L28"/>
      <c r="M28" s="2"/>
      <c r="N28" s="12">
        <f t="shared" si="2"/>
        <v>2012.75</v>
      </c>
    </row>
    <row r="29" spans="1:17" x14ac:dyDescent="0.2">
      <c r="A29" s="12" t="str">
        <f t="shared" si="1"/>
        <v>12/31/2012</v>
      </c>
      <c r="B29"/>
      <c r="C29" s="236">
        <f>'[2]Boeckh (R)'!$D65</f>
        <v>2139.8897584374999</v>
      </c>
      <c r="D29" s="121">
        <f t="shared" si="3"/>
        <v>2156.0170408385893</v>
      </c>
      <c r="E29" s="121">
        <f t="shared" si="4"/>
        <v>2153.012742320519</v>
      </c>
      <c r="F29"/>
      <c r="G29"/>
      <c r="H29"/>
      <c r="I29"/>
      <c r="J29"/>
      <c r="K29"/>
      <c r="L29"/>
      <c r="M29" s="2"/>
      <c r="N29" s="12">
        <f t="shared" si="2"/>
        <v>2013</v>
      </c>
    </row>
    <row r="30" spans="1:17" x14ac:dyDescent="0.2">
      <c r="A30" s="12" t="str">
        <f t="shared" si="1"/>
        <v>3/31/2013</v>
      </c>
      <c r="B30"/>
      <c r="C30" s="236">
        <f>'[2]Boeckh (R)'!$D66</f>
        <v>2155.3798938281243</v>
      </c>
      <c r="D30" s="121">
        <f t="shared" si="3"/>
        <v>2166.6132498642983</v>
      </c>
      <c r="E30" s="121">
        <f t="shared" si="4"/>
        <v>2163.4029348603226</v>
      </c>
      <c r="F30"/>
      <c r="G30"/>
      <c r="H30"/>
      <c r="I30"/>
      <c r="J30"/>
      <c r="K30"/>
      <c r="L30"/>
      <c r="M30" s="2"/>
      <c r="N30" s="12">
        <f t="shared" si="2"/>
        <v>2013.25</v>
      </c>
      <c r="O30" s="117"/>
      <c r="P30" s="88"/>
    </row>
    <row r="31" spans="1:17" x14ac:dyDescent="0.2">
      <c r="A31" s="12" t="str">
        <f t="shared" si="1"/>
        <v>6/30/2013</v>
      </c>
      <c r="B31" s="116"/>
      <c r="C31" s="236">
        <f>'[2]Boeckh (R)'!$D67</f>
        <v>2172.4831220312499</v>
      </c>
      <c r="D31" s="121">
        <f t="shared" si="3"/>
        <v>2177.2094588900072</v>
      </c>
      <c r="E31" s="121">
        <f t="shared" si="4"/>
        <v>2173.8432692775327</v>
      </c>
      <c r="F31" s="29"/>
      <c r="G31" s="108"/>
      <c r="H31" s="29"/>
      <c r="I31" s="108"/>
      <c r="J31" s="29"/>
      <c r="K31" s="108"/>
      <c r="L31" s="108"/>
      <c r="M31" s="2"/>
      <c r="N31" s="12">
        <f t="shared" si="2"/>
        <v>2013.5</v>
      </c>
    </row>
    <row r="32" spans="1:17" x14ac:dyDescent="0.2">
      <c r="A32" s="12" t="str">
        <f t="shared" si="1"/>
        <v>9/30/2013</v>
      </c>
      <c r="B32" s="116"/>
      <c r="C32" s="236">
        <f>'[2]Boeckh (R)'!$D68</f>
        <v>2188.255486953125</v>
      </c>
      <c r="D32" s="121">
        <f t="shared" si="3"/>
        <v>2187.8056679157162</v>
      </c>
      <c r="E32" s="121">
        <f t="shared" si="4"/>
        <v>2184.3339875511297</v>
      </c>
      <c r="F32" s="29"/>
      <c r="G32" s="108"/>
      <c r="H32" s="29"/>
      <c r="I32" s="108"/>
      <c r="J32" s="29"/>
      <c r="K32" s="108"/>
      <c r="L32" s="108"/>
      <c r="M32" s="2"/>
      <c r="N32" s="12">
        <f t="shared" si="2"/>
        <v>2013.75</v>
      </c>
    </row>
    <row r="33" spans="1:14" x14ac:dyDescent="0.2">
      <c r="A33" s="12" t="str">
        <f t="shared" si="1"/>
        <v>12/31/2013</v>
      </c>
      <c r="B33" s="51"/>
      <c r="C33" s="236">
        <f>'[2]Boeckh (R)'!$D69</f>
        <v>2202.5870287499997</v>
      </c>
      <c r="D33" s="121">
        <f t="shared" si="3"/>
        <v>2198.4018769414251</v>
      </c>
      <c r="E33" s="121">
        <f t="shared" si="4"/>
        <v>2194.8753328277944</v>
      </c>
      <c r="F33" s="29"/>
      <c r="G33" s="108"/>
      <c r="H33" s="29"/>
      <c r="I33" s="108"/>
      <c r="J33" s="29"/>
      <c r="K33" s="108"/>
      <c r="L33" s="108"/>
      <c r="M33" s="2"/>
      <c r="N33" s="12">
        <f t="shared" si="2"/>
        <v>2014</v>
      </c>
    </row>
    <row r="34" spans="1:14" x14ac:dyDescent="0.2">
      <c r="A34" s="12" t="str">
        <f t="shared" si="1"/>
        <v>3/31/2014</v>
      </c>
      <c r="B34" s="51"/>
      <c r="C34" s="236">
        <f>'[2]Boeckh (R)'!$D70</f>
        <v>2219.59576296875</v>
      </c>
      <c r="D34" s="121">
        <f t="shared" si="3"/>
        <v>2208.9980859671341</v>
      </c>
      <c r="E34" s="121">
        <f t="shared" si="4"/>
        <v>2205.4675494276676</v>
      </c>
      <c r="F34" s="121">
        <f>TREND($C$34:$C$53,$N$34:$N$53,$N34,TRUE)</f>
        <v>2239.7942850959735</v>
      </c>
      <c r="G34" s="121">
        <f t="shared" ref="G34:G52" si="5">GROWTH($C$34:$C$53,$N$34:$N$53,$N34,TRUE)</f>
        <v>2240.7515142946318</v>
      </c>
      <c r="H34" s="29"/>
      <c r="I34" s="108"/>
      <c r="J34" s="29"/>
      <c r="K34" s="108"/>
      <c r="L34" s="108"/>
      <c r="M34" s="2"/>
      <c r="N34" s="12">
        <f t="shared" si="2"/>
        <v>2014.25</v>
      </c>
    </row>
    <row r="35" spans="1:14" x14ac:dyDescent="0.2">
      <c r="A35" s="12" t="str">
        <f t="shared" si="1"/>
        <v>6/30/2014</v>
      </c>
      <c r="B35" s="116"/>
      <c r="C35" s="236">
        <f>'[2]Boeckh (R)'!$D71</f>
        <v>2238.9325269531246</v>
      </c>
      <c r="D35" s="121">
        <f t="shared" si="3"/>
        <v>2219.5942949928576</v>
      </c>
      <c r="E35" s="121">
        <f t="shared" si="4"/>
        <v>2216.1108828498886</v>
      </c>
      <c r="F35" s="121">
        <f t="shared" ref="F35:F52" si="6">TREND($C$34:$C$53,$N$34:$N$53,$N35,TRUE)</f>
        <v>2247.89065960273</v>
      </c>
      <c r="G35" s="121">
        <f t="shared" si="5"/>
        <v>2248.5680589924541</v>
      </c>
      <c r="H35" s="36"/>
      <c r="I35" s="108"/>
      <c r="J35" s="36"/>
      <c r="K35" s="108"/>
      <c r="L35" s="108"/>
      <c r="M35" s="2"/>
      <c r="N35" s="12">
        <f t="shared" si="2"/>
        <v>2014.5</v>
      </c>
    </row>
    <row r="36" spans="1:14" x14ac:dyDescent="0.2">
      <c r="A36" s="12" t="str">
        <f t="shared" si="1"/>
        <v>9/30/2014</v>
      </c>
      <c r="B36" s="22"/>
      <c r="C36" s="236">
        <f>'[2]Boeckh (R)'!$D72</f>
        <v>2257.3478765625</v>
      </c>
      <c r="D36" s="121">
        <f t="shared" si="3"/>
        <v>2230.1905040185666</v>
      </c>
      <c r="E36" s="121">
        <f t="shared" si="4"/>
        <v>2226.805579778395</v>
      </c>
      <c r="F36" s="121">
        <f t="shared" si="6"/>
        <v>2255.9870341094866</v>
      </c>
      <c r="G36" s="121">
        <f t="shared" si="5"/>
        <v>2256.4118706007771</v>
      </c>
      <c r="H36"/>
      <c r="I36"/>
      <c r="J36"/>
      <c r="K36"/>
      <c r="L36"/>
      <c r="M36" s="2"/>
      <c r="N36" s="12">
        <f t="shared" si="2"/>
        <v>2014.75</v>
      </c>
    </row>
    <row r="37" spans="1:14" x14ac:dyDescent="0.2">
      <c r="A37" s="12" t="str">
        <f t="shared" si="1"/>
        <v>12/31/2014</v>
      </c>
      <c r="B37" s="22"/>
      <c r="C37" s="236">
        <f>'[2]Boeckh (R)'!$D73</f>
        <v>2275.4896718750001</v>
      </c>
      <c r="D37" s="121">
        <f t="shared" si="3"/>
        <v>2240.7867130442755</v>
      </c>
      <c r="E37" s="121">
        <f t="shared" si="4"/>
        <v>2237.551888087592</v>
      </c>
      <c r="F37" s="121">
        <f t="shared" si="6"/>
        <v>2264.0834086162431</v>
      </c>
      <c r="G37" s="121">
        <f t="shared" si="5"/>
        <v>2264.2830442363775</v>
      </c>
      <c r="H37"/>
      <c r="J37"/>
      <c r="M37" s="2"/>
      <c r="N37" s="12">
        <f t="shared" si="2"/>
        <v>2015</v>
      </c>
    </row>
    <row r="38" spans="1:14" x14ac:dyDescent="0.2">
      <c r="A38" s="12" t="str">
        <f t="shared" si="1"/>
        <v>3/31/2015</v>
      </c>
      <c r="B38" s="22"/>
      <c r="C38" s="236">
        <f>'[2]Boeckh (R)'!$D74</f>
        <v>2293.5151308593749</v>
      </c>
      <c r="D38" s="121">
        <f t="shared" si="3"/>
        <v>2251.3829220699845</v>
      </c>
      <c r="E38" s="121">
        <f t="shared" si="4"/>
        <v>2248.3500568480513</v>
      </c>
      <c r="F38" s="121">
        <f t="shared" si="6"/>
        <v>2272.1797831229997</v>
      </c>
      <c r="G38" s="121">
        <f t="shared" si="5"/>
        <v>2272.1816753478092</v>
      </c>
      <c r="H38" s="121">
        <f t="shared" ref="H38:H53" si="7">TREND($C$38:$C$53,$N$38:$N$53,$N38,TRUE)</f>
        <v>2277.9790304457711</v>
      </c>
      <c r="I38" s="121">
        <f t="shared" ref="I38:I53" si="8">GROWTH($C$38:$C$53,$N$38:$N$53,$N38,TRUE)</f>
        <v>2278.8153605140074</v>
      </c>
      <c r="J38" s="108"/>
      <c r="K38" s="108"/>
      <c r="L38" s="108"/>
      <c r="M38" s="2"/>
      <c r="N38" s="12">
        <f t="shared" si="2"/>
        <v>2015.25</v>
      </c>
    </row>
    <row r="39" spans="1:14" x14ac:dyDescent="0.2">
      <c r="A39" s="12" t="str">
        <f t="shared" si="1"/>
        <v>6/30/2015</v>
      </c>
      <c r="B39" s="22"/>
      <c r="C39" s="236">
        <f>'[2]Boeckh (R)'!$D75</f>
        <v>2307.4778215625001</v>
      </c>
      <c r="D39" s="121">
        <f t="shared" si="3"/>
        <v>2261.9791310956934</v>
      </c>
      <c r="E39" s="121">
        <f t="shared" si="4"/>
        <v>2259.2003363323943</v>
      </c>
      <c r="F39" s="121">
        <f t="shared" si="6"/>
        <v>2280.2761576297489</v>
      </c>
      <c r="G39" s="121">
        <f t="shared" si="5"/>
        <v>2280.1078597165838</v>
      </c>
      <c r="H39" s="121">
        <f t="shared" si="7"/>
        <v>2285.438751551701</v>
      </c>
      <c r="I39" s="121">
        <f t="shared" si="8"/>
        <v>2286.0365522657748</v>
      </c>
      <c r="J39" s="108"/>
      <c r="K39" s="108"/>
      <c r="L39" s="108"/>
      <c r="M39" s="2"/>
      <c r="N39" s="12">
        <f t="shared" si="2"/>
        <v>2015.5</v>
      </c>
    </row>
    <row r="40" spans="1:14" x14ac:dyDescent="0.2">
      <c r="A40" s="12" t="str">
        <f t="shared" si="1"/>
        <v>9/30/2015</v>
      </c>
      <c r="B40" s="22"/>
      <c r="C40" s="236">
        <f>'[2]Boeckh (R)'!$D76</f>
        <v>2315.9449352343754</v>
      </c>
      <c r="D40" s="121">
        <f t="shared" si="3"/>
        <v>2272.5753401214024</v>
      </c>
      <c r="E40" s="121">
        <f t="shared" si="4"/>
        <v>2270.1029780209651</v>
      </c>
      <c r="F40" s="121">
        <f t="shared" si="6"/>
        <v>2288.3725321365055</v>
      </c>
      <c r="G40" s="121">
        <f t="shared" si="5"/>
        <v>2288.0616934583586</v>
      </c>
      <c r="H40" s="121">
        <f t="shared" si="7"/>
        <v>2292.8984726576309</v>
      </c>
      <c r="I40" s="121">
        <f t="shared" si="8"/>
        <v>2293.2806267886685</v>
      </c>
      <c r="J40" s="108"/>
      <c r="K40" s="108"/>
      <c r="L40" s="108"/>
      <c r="M40" s="2"/>
      <c r="N40" s="12">
        <f t="shared" si="2"/>
        <v>2015.75</v>
      </c>
    </row>
    <row r="41" spans="1:14" x14ac:dyDescent="0.2">
      <c r="A41" s="12" t="str">
        <f t="shared" si="1"/>
        <v>12/31/2015</v>
      </c>
      <c r="B41" s="22"/>
      <c r="C41" s="236">
        <f>'[2]Boeckh (R)'!$D77</f>
        <v>2319.8257382031252</v>
      </c>
      <c r="D41" s="121">
        <f t="shared" si="3"/>
        <v>2283.1715491471114</v>
      </c>
      <c r="E41" s="121">
        <f>GROWTH($C$14:$C$53,$N$14:$N$53,$N41,TRUE)</f>
        <v>2281.0582346077872</v>
      </c>
      <c r="F41" s="121">
        <f t="shared" si="6"/>
        <v>2296.468906643262</v>
      </c>
      <c r="G41" s="121">
        <f t="shared" si="5"/>
        <v>2296.0432730240527</v>
      </c>
      <c r="H41" s="121">
        <f t="shared" si="7"/>
        <v>2300.3581937635536</v>
      </c>
      <c r="I41" s="121">
        <f t="shared" si="8"/>
        <v>2300.5476565944177</v>
      </c>
      <c r="J41" s="50"/>
      <c r="K41" s="60"/>
      <c r="L41" s="60"/>
      <c r="M41" s="2"/>
      <c r="N41" s="12">
        <f t="shared" si="2"/>
        <v>2016</v>
      </c>
    </row>
    <row r="42" spans="1:14" x14ac:dyDescent="0.2">
      <c r="A42" s="12" t="str">
        <f t="shared" si="1"/>
        <v>3/31/2016</v>
      </c>
      <c r="C42" s="236">
        <f>'[2]Boeckh (R)'!$D78</f>
        <v>2316.3639912499998</v>
      </c>
      <c r="D42" s="121">
        <f t="shared" si="3"/>
        <v>2293.7677581728203</v>
      </c>
      <c r="E42" s="121">
        <f t="shared" si="4"/>
        <v>2292.0663600062921</v>
      </c>
      <c r="F42" s="121">
        <f>TREND($C$34:$C$53,$N$34:$N$53,$N42,TRUE)</f>
        <v>2304.5652811500186</v>
      </c>
      <c r="G42" s="121">
        <f t="shared" si="5"/>
        <v>2304.0526952010482</v>
      </c>
      <c r="H42" s="121">
        <f t="shared" si="7"/>
        <v>2307.8179148694835</v>
      </c>
      <c r="I42" s="121">
        <f t="shared" si="8"/>
        <v>2307.837714424561</v>
      </c>
      <c r="J42" s="121">
        <f t="shared" ref="J42:J52" si="9">TREND($C$42:$C$53,$N$42:$N$53,$N42,TRUE)</f>
        <v>2276.7471799338964</v>
      </c>
      <c r="K42" s="121">
        <f>GROWTH($C$42:$C$53,$N$42:$N$53,$N42,TRUE)</f>
        <v>2277.6810899556353</v>
      </c>
      <c r="L42" s="121"/>
      <c r="M42" s="2"/>
      <c r="N42" s="12">
        <f t="shared" si="2"/>
        <v>2016.25</v>
      </c>
    </row>
    <row r="43" spans="1:14" x14ac:dyDescent="0.2">
      <c r="A43" s="12" t="str">
        <f t="shared" si="1"/>
        <v>6/30/2016</v>
      </c>
      <c r="B43" s="116"/>
      <c r="C43" s="236">
        <f>'[2]Boeckh (R)'!$D79</f>
        <v>2308.3288760156247</v>
      </c>
      <c r="D43" s="121">
        <f t="shared" si="3"/>
        <v>2304.3639671985293</v>
      </c>
      <c r="E43" s="121">
        <f t="shared" si="4"/>
        <v>2303.1276093553342</v>
      </c>
      <c r="F43" s="121">
        <f t="shared" si="6"/>
        <v>2312.6616556567751</v>
      </c>
      <c r="G43" s="121">
        <f t="shared" si="5"/>
        <v>2312.0900571143466</v>
      </c>
      <c r="H43" s="121">
        <f t="shared" si="7"/>
        <v>2315.2776359754134</v>
      </c>
      <c r="I43" s="121">
        <f t="shared" si="8"/>
        <v>2315.1508732511102</v>
      </c>
      <c r="J43" s="121">
        <f t="shared" si="9"/>
        <v>2288.6426531881007</v>
      </c>
      <c r="K43" s="121">
        <f t="shared" ref="K43:K52" si="10">GROWTH($C$42:$C$53,$N$42:$N$53,$N43,TRUE)</f>
        <v>2289.1918642934033</v>
      </c>
      <c r="L43" s="121"/>
      <c r="M43" s="2"/>
      <c r="N43" s="12">
        <f t="shared" si="2"/>
        <v>2016.5</v>
      </c>
    </row>
    <row r="44" spans="1:14" x14ac:dyDescent="0.2">
      <c r="A44" s="12" t="str">
        <f t="shared" si="1"/>
        <v>9/30/2016</v>
      </c>
      <c r="C44" s="236">
        <f>'[2]Boeckh (R)'!$D80</f>
        <v>2301.1726541406247</v>
      </c>
      <c r="D44" s="121">
        <f t="shared" si="3"/>
        <v>2314.9601762242382</v>
      </c>
      <c r="E44" s="121">
        <f t="shared" si="4"/>
        <v>2314.2422390249722</v>
      </c>
      <c r="F44" s="121">
        <f t="shared" si="6"/>
        <v>2320.7580301635244</v>
      </c>
      <c r="G44" s="121">
        <f t="shared" si="5"/>
        <v>2320.1554562277838</v>
      </c>
      <c r="H44" s="121">
        <f t="shared" si="7"/>
        <v>2322.7373570813434</v>
      </c>
      <c r="I44" s="121">
        <f t="shared" si="8"/>
        <v>2322.4872062773479</v>
      </c>
      <c r="J44" s="121">
        <f t="shared" si="9"/>
        <v>2300.5381264423049</v>
      </c>
      <c r="K44" s="121">
        <f t="shared" si="10"/>
        <v>2300.7608109215944</v>
      </c>
      <c r="L44" s="121"/>
      <c r="M44" s="2"/>
      <c r="N44" s="12">
        <f t="shared" si="2"/>
        <v>2016.75</v>
      </c>
    </row>
    <row r="45" spans="1:14" x14ac:dyDescent="0.2">
      <c r="A45" s="12" t="str">
        <f t="shared" si="1"/>
        <v>12/31/2016</v>
      </c>
      <c r="C45" s="236">
        <f>'[2]Boeckh (R)'!$D81</f>
        <v>2296.4491737499998</v>
      </c>
      <c r="D45" s="121">
        <f t="shared" si="3"/>
        <v>2325.5563852499472</v>
      </c>
      <c r="E45" s="121">
        <f t="shared" si="4"/>
        <v>2325.4105066225429</v>
      </c>
      <c r="F45" s="121">
        <f t="shared" si="6"/>
        <v>2328.8544046702809</v>
      </c>
      <c r="G45" s="121">
        <f t="shared" si="5"/>
        <v>2328.2489903451574</v>
      </c>
      <c r="H45" s="121">
        <f t="shared" si="7"/>
        <v>2330.197078187266</v>
      </c>
      <c r="I45" s="121">
        <f t="shared" si="8"/>
        <v>2329.846786938499</v>
      </c>
      <c r="J45" s="121">
        <f t="shared" si="9"/>
        <v>2312.4335996965237</v>
      </c>
      <c r="K45" s="121">
        <f t="shared" si="10"/>
        <v>2312.3882238269944</v>
      </c>
      <c r="L45" s="121"/>
      <c r="M45" s="2"/>
      <c r="N45" s="12">
        <f t="shared" si="2"/>
        <v>2017</v>
      </c>
    </row>
    <row r="46" spans="1:14" x14ac:dyDescent="0.2">
      <c r="A46" s="12" t="str">
        <f t="shared" si="1"/>
        <v>3/31/2017</v>
      </c>
      <c r="C46" s="236">
        <f>'[2]Boeckh (R)'!$D82</f>
        <v>2299.303500234375</v>
      </c>
      <c r="D46" s="121">
        <f t="shared" si="3"/>
        <v>2336.1525942756562</v>
      </c>
      <c r="E46" s="121">
        <f t="shared" si="4"/>
        <v>2336.632670998501</v>
      </c>
      <c r="F46" s="121">
        <f t="shared" si="6"/>
        <v>2336.9507791770375</v>
      </c>
      <c r="G46" s="121">
        <f t="shared" si="5"/>
        <v>2336.3707576114416</v>
      </c>
      <c r="H46" s="121">
        <f t="shared" si="7"/>
        <v>2337.6567992931959</v>
      </c>
      <c r="I46" s="121">
        <f t="shared" si="8"/>
        <v>2337.2296889024947</v>
      </c>
      <c r="J46" s="121">
        <f t="shared" si="9"/>
        <v>2324.329072950728</v>
      </c>
      <c r="K46" s="121">
        <f>GROWTH($C$42:$C$53,$N$42:$N$53,$N46,TRUE)</f>
        <v>2324.0743984820706</v>
      </c>
      <c r="L46" s="121"/>
      <c r="M46" s="2"/>
      <c r="N46" s="12">
        <f t="shared" si="2"/>
        <v>2017.25</v>
      </c>
    </row>
    <row r="47" spans="1:14" x14ac:dyDescent="0.2">
      <c r="A47" s="12" t="str">
        <f t="shared" si="1"/>
        <v>6/30/2017</v>
      </c>
      <c r="C47" s="236">
        <f>'[2]Boeckh (R)'!$D83</f>
        <v>2309.66218796875</v>
      </c>
      <c r="D47" s="121">
        <f t="shared" si="3"/>
        <v>2346.7488033013651</v>
      </c>
      <c r="E47" s="121">
        <f t="shared" si="4"/>
        <v>2347.9089922525513</v>
      </c>
      <c r="F47" s="121">
        <f t="shared" si="6"/>
        <v>2345.047153683794</v>
      </c>
      <c r="G47" s="121">
        <f t="shared" si="5"/>
        <v>2344.5208565139978</v>
      </c>
      <c r="H47" s="121">
        <f t="shared" si="7"/>
        <v>2345.1165203991259</v>
      </c>
      <c r="I47" s="121">
        <f t="shared" si="8"/>
        <v>2344.6359860707303</v>
      </c>
      <c r="J47" s="121">
        <f>TREND($C$42:$C$53,$N$42:$N$53,$N47,TRUE)</f>
        <v>2336.2245462049323</v>
      </c>
      <c r="K47" s="121">
        <f>GROWTH($C$42:$C$53,$N$42:$N$53,$N47,TRUE)</f>
        <v>2335.8196318525738</v>
      </c>
      <c r="L47" s="121"/>
      <c r="M47" s="2"/>
      <c r="N47" s="12">
        <f t="shared" si="2"/>
        <v>2017.5</v>
      </c>
    </row>
    <row r="48" spans="1:14" x14ac:dyDescent="0.2">
      <c r="A48" s="12" t="str">
        <f t="shared" si="1"/>
        <v>9/30/2017</v>
      </c>
      <c r="B48" s="116"/>
      <c r="C48" s="236">
        <f>'[2]Boeckh (R)'!$D84</f>
        <v>2326.193059453125</v>
      </c>
      <c r="D48" s="121">
        <f t="shared" si="3"/>
        <v>2357.3450123270741</v>
      </c>
      <c r="E48" s="121">
        <f t="shared" si="4"/>
        <v>2359.2397317395412</v>
      </c>
      <c r="F48" s="121">
        <f t="shared" si="6"/>
        <v>2353.1435281905506</v>
      </c>
      <c r="G48" s="121">
        <f t="shared" si="5"/>
        <v>2352.6993858837245</v>
      </c>
      <c r="H48" s="121">
        <f t="shared" si="7"/>
        <v>2352.5762415050558</v>
      </c>
      <c r="I48" s="121">
        <f t="shared" si="8"/>
        <v>2352.0657525787515</v>
      </c>
      <c r="J48" s="121">
        <f t="shared" si="9"/>
        <v>2348.1200194591365</v>
      </c>
      <c r="K48" s="121">
        <f t="shared" si="10"/>
        <v>2347.6242224050234</v>
      </c>
      <c r="L48" s="121"/>
      <c r="M48" s="2"/>
      <c r="N48" s="12">
        <f t="shared" si="2"/>
        <v>2017.75</v>
      </c>
    </row>
    <row r="49" spans="1:15" x14ac:dyDescent="0.2">
      <c r="A49" s="12" t="str">
        <f t="shared" si="1"/>
        <v>12/31/2017</v>
      </c>
      <c r="C49" s="236">
        <f>'[2]Boeckh (R)'!$D85</f>
        <v>2343.6965754687499</v>
      </c>
      <c r="D49" s="121">
        <f t="shared" si="3"/>
        <v>2367.9412213527976</v>
      </c>
      <c r="E49" s="121">
        <f t="shared" si="4"/>
        <v>2370.625152075655</v>
      </c>
      <c r="F49" s="121">
        <f t="shared" si="6"/>
        <v>2361.2399026973071</v>
      </c>
      <c r="G49" s="121">
        <f t="shared" si="5"/>
        <v>2360.9064448962758</v>
      </c>
      <c r="H49" s="121">
        <f t="shared" si="7"/>
        <v>2360.0359626109857</v>
      </c>
      <c r="I49" s="121">
        <f t="shared" si="8"/>
        <v>2359.5190627970587</v>
      </c>
      <c r="J49" s="121">
        <f t="shared" si="9"/>
        <v>2360.0154927133408</v>
      </c>
      <c r="K49" s="121">
        <f t="shared" si="10"/>
        <v>2359.4884701143228</v>
      </c>
      <c r="L49" s="121"/>
      <c r="M49" s="2"/>
      <c r="N49" s="12">
        <f t="shared" si="2"/>
        <v>2018</v>
      </c>
    </row>
    <row r="50" spans="1:15" x14ac:dyDescent="0.2">
      <c r="A50" s="12" t="str">
        <f t="shared" si="1"/>
        <v>3/31/2018</v>
      </c>
      <c r="C50" s="236">
        <f>'[2]Boeckh (R)'!$D86</f>
        <v>2363.6270378125</v>
      </c>
      <c r="D50" s="121">
        <f>TREND($C$14:$C$53,$N$14:$N$53,$N50,TRUE)</f>
        <v>2378.5374303785065</v>
      </c>
      <c r="E50" s="121">
        <f t="shared" si="4"/>
        <v>2382.065517144365</v>
      </c>
      <c r="F50" s="121">
        <f t="shared" si="6"/>
        <v>2369.3362772040564</v>
      </c>
      <c r="G50" s="121">
        <f t="shared" si="5"/>
        <v>2369.1421330732924</v>
      </c>
      <c r="H50" s="121">
        <f t="shared" si="7"/>
        <v>2367.4956837169084</v>
      </c>
      <c r="I50" s="121">
        <f t="shared" si="8"/>
        <v>2366.9959913317884</v>
      </c>
      <c r="J50" s="121">
        <f t="shared" si="9"/>
        <v>2371.9109659675451</v>
      </c>
      <c r="K50" s="121">
        <f t="shared" si="10"/>
        <v>2371.412676471316</v>
      </c>
      <c r="L50" s="121"/>
      <c r="M50" s="2"/>
      <c r="N50" s="12">
        <f t="shared" si="2"/>
        <v>2018.25</v>
      </c>
    </row>
    <row r="51" spans="1:15" x14ac:dyDescent="0.2">
      <c r="A51" s="12" t="str">
        <f t="shared" si="1"/>
        <v>6/30/2018</v>
      </c>
      <c r="C51" s="236">
        <f>'[2]Boeckh (R)'!$D87</f>
        <v>2386.8735450000004</v>
      </c>
      <c r="D51" s="121">
        <f t="shared" si="3"/>
        <v>2389.1336394042155</v>
      </c>
      <c r="E51" s="121">
        <f t="shared" si="4"/>
        <v>2393.561092102681</v>
      </c>
      <c r="F51" s="121">
        <f t="shared" si="6"/>
        <v>2377.4326517108129</v>
      </c>
      <c r="G51" s="121">
        <f t="shared" si="5"/>
        <v>2377.406550283556</v>
      </c>
      <c r="H51" s="121">
        <f t="shared" si="7"/>
        <v>2374.9554048228383</v>
      </c>
      <c r="I51" s="121">
        <f t="shared" si="8"/>
        <v>2374.4966130255243</v>
      </c>
      <c r="J51" s="121">
        <f t="shared" si="9"/>
        <v>2383.8064392217639</v>
      </c>
      <c r="K51" s="121">
        <f t="shared" si="10"/>
        <v>2383.3971444905487</v>
      </c>
      <c r="L51" s="121"/>
      <c r="M51" s="2"/>
      <c r="N51" s="12">
        <f t="shared" si="2"/>
        <v>2018.5</v>
      </c>
    </row>
    <row r="52" spans="1:15" x14ac:dyDescent="0.2">
      <c r="A52" s="12" t="str">
        <f>TEXT(DATE(YEAR(A53+1),MONTH(A53+1)-3,1)-1,"m/d/yyyy")</f>
        <v>9/30/2018</v>
      </c>
      <c r="C52" s="236">
        <f>'[2]Boeckh (R)'!$D88</f>
        <v>2413.4006183593751</v>
      </c>
      <c r="D52" s="121">
        <f t="shared" si="3"/>
        <v>2399.7298484299245</v>
      </c>
      <c r="E52" s="121">
        <f t="shared" si="4"/>
        <v>2405.1121433871654</v>
      </c>
      <c r="F52" s="121">
        <f t="shared" si="6"/>
        <v>2385.5290262175695</v>
      </c>
      <c r="G52" s="121">
        <f t="shared" si="5"/>
        <v>2385.6997967442358</v>
      </c>
      <c r="H52" s="121">
        <f t="shared" si="7"/>
        <v>2382.4151259287682</v>
      </c>
      <c r="I52" s="121">
        <f t="shared" si="8"/>
        <v>2382.0210029579812</v>
      </c>
      <c r="J52" s="121">
        <f t="shared" si="9"/>
        <v>2395.7019124759681</v>
      </c>
      <c r="K52" s="121">
        <f t="shared" si="10"/>
        <v>2395.4421787179022</v>
      </c>
      <c r="L52" s="121"/>
      <c r="M52" s="2"/>
      <c r="N52" s="12">
        <f t="shared" si="2"/>
        <v>2018.75</v>
      </c>
    </row>
    <row r="53" spans="1:15" x14ac:dyDescent="0.2">
      <c r="A53" s="12" t="str">
        <f>TEXT(N9,"m/d/yyyy")</f>
        <v>12/31/2018</v>
      </c>
      <c r="C53" s="236">
        <f>'[2]Boeckh (R)'!$D89</f>
        <v>2440.9961745312503</v>
      </c>
      <c r="D53" s="121">
        <f t="shared" si="3"/>
        <v>2410.3260574556334</v>
      </c>
      <c r="E53" s="121">
        <f t="shared" si="4"/>
        <v>2416.7189387202211</v>
      </c>
      <c r="F53" s="121">
        <f>TREND($C$34:$C$53,$N$34:$N$53,$N53,TRUE)</f>
        <v>2393.625400724326</v>
      </c>
      <c r="G53" s="121">
        <f>GROWTH($C$34:$C$53,$N$34:$N$53,$N53,TRUE)</f>
        <v>2394.0219730220851</v>
      </c>
      <c r="H53" s="121">
        <f t="shared" si="7"/>
        <v>2389.8748470346982</v>
      </c>
      <c r="I53" s="121">
        <f t="shared" si="8"/>
        <v>2389.5692364468214</v>
      </c>
      <c r="J53" s="121">
        <f>TREND($C$42:$C$53,$N$42:$N$53,$N53,TRUE)</f>
        <v>2407.5973857301724</v>
      </c>
      <c r="K53" s="121">
        <f>GROWTH($C$42:$C$53,$N$42:$N$53,$N53,TRUE)</f>
        <v>2407.5480852383666</v>
      </c>
      <c r="L53" s="171"/>
      <c r="M53" s="2"/>
      <c r="N53" s="12">
        <f t="shared" si="2"/>
        <v>2019</v>
      </c>
    </row>
    <row r="54" spans="1:15" x14ac:dyDescent="0.2">
      <c r="A54" s="122"/>
      <c r="B54" s="9"/>
      <c r="C54" s="196"/>
      <c r="D54" s="123"/>
      <c r="E54" s="123"/>
      <c r="F54" s="123"/>
      <c r="G54" s="123"/>
      <c r="H54" s="123"/>
      <c r="I54" s="123"/>
      <c r="J54" s="123"/>
      <c r="K54" s="123"/>
      <c r="L54"/>
      <c r="M54" s="2"/>
    </row>
    <row r="55" spans="1:15" x14ac:dyDescent="0.2">
      <c r="A55" s="50"/>
      <c r="B55" s="110"/>
      <c r="C55" s="50"/>
      <c r="D55" s="50"/>
      <c r="E55" s="50"/>
      <c r="F55" s="50"/>
      <c r="G55" s="104"/>
      <c r="H55" s="50"/>
      <c r="I55" s="104"/>
      <c r="J55" s="50"/>
      <c r="K55" s="50"/>
      <c r="L55" s="50"/>
      <c r="M55" s="2"/>
    </row>
    <row r="56" spans="1:15" x14ac:dyDescent="0.2">
      <c r="A56" s="12" t="s">
        <v>264</v>
      </c>
      <c r="C56"/>
      <c r="D56" s="20">
        <f>(D53-D49)/D53</f>
        <v>1.7584689827225174E-2</v>
      </c>
      <c r="E56" s="20">
        <f>LOGEST($C$14:$C$53,$N$14:$N$53,TRUE,TRUE)-1</f>
        <v>1.9443726311695775E-2</v>
      </c>
      <c r="F56" s="20">
        <f>(F53-F49)/F53</f>
        <v>1.352989403321792E-2</v>
      </c>
      <c r="G56" s="20">
        <f>LOGEST($C$34:$C$53,$N$34:$N$53,TRUE,TRUE)-1</f>
        <v>1.4026616004795711E-2</v>
      </c>
      <c r="H56" s="20">
        <f>(H53-H49)/H53</f>
        <v>1.2485542688871698E-2</v>
      </c>
      <c r="I56" s="20">
        <f>LOGEST($C$38:$C$53,$N$38:$N$53,TRUE,TRUE)-1</f>
        <v>1.2735719801365342E-2</v>
      </c>
      <c r="J56" s="20">
        <f>(J53-J49)/J53</f>
        <v>1.9763226733360586E-2</v>
      </c>
      <c r="K56" s="20">
        <f>LOGEST($C$42:$C$53,$N$42:$N$53,TRUE,TRUE)-1</f>
        <v>2.0368658602394563E-2</v>
      </c>
      <c r="L56" s="20"/>
      <c r="M56" s="2"/>
    </row>
    <row r="57" spans="1:15" x14ac:dyDescent="0.2">
      <c r="A57" s="124" t="s">
        <v>265</v>
      </c>
      <c r="B57" s="116"/>
      <c r="C57" s="106"/>
      <c r="D57" s="107">
        <f>INDEX(LINEST($C$14:$C$53,$N$14:$N$53,TRUE,TRUE),3,1)</f>
        <v>0.96051032108495371</v>
      </c>
      <c r="E57" s="107">
        <f>INDEX(LOGEST($C$14:$C$53,$N$14:$N$53,TRUE,TRUE),3,1)</f>
        <v>0.96134939568054456</v>
      </c>
      <c r="F57" s="107">
        <f>INDEX(LINEST($C$34:$C$53,$N$34:$N$53,TRUE,TRUE),3,1)</f>
        <v>0.79041299395260423</v>
      </c>
      <c r="G57" s="107">
        <f>INDEX(LOGEST($C$34:$C$53,$N$34:$N$53,TRUE,TRUE),3,1)</f>
        <v>0.79359162605503186</v>
      </c>
      <c r="H57" s="107">
        <f>INDEX(LINEST($C$38:$C$53,$N$38:$N$53,TRUE,TRUE),3,1)</f>
        <v>0.63695226692703999</v>
      </c>
      <c r="I57" s="107">
        <f>INDEX(LOGEST($C$38:$C$53,$N$38:$N$53,TRUE,TRUE),3,1)</f>
        <v>0.63866352460554709</v>
      </c>
      <c r="J57" s="107">
        <f>INDEX(LINEST($C$42:$C$53,$N$42:$N$53,TRUE,TRUE),3,1)</f>
        <v>0.77726225813211403</v>
      </c>
      <c r="K57" s="107">
        <f>INDEX(LOGEST($C$42:$C$53,$N$42:$N$53,TRUE,TRUE),3,1)</f>
        <v>0.77903084901348063</v>
      </c>
      <c r="L57" s="107"/>
      <c r="M57" s="2"/>
      <c r="O57" s="270"/>
    </row>
    <row r="58" spans="1:15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5" ht="12" thickTop="1" x14ac:dyDescent="0.2">
      <c r="A59"/>
      <c r="B59"/>
      <c r="C59"/>
      <c r="D59"/>
      <c r="E59"/>
      <c r="F59"/>
      <c r="G59" s="50"/>
      <c r="H59"/>
      <c r="I59" s="50"/>
      <c r="J59"/>
      <c r="K59" s="50"/>
      <c r="L59" s="50"/>
      <c r="M59" s="2"/>
    </row>
    <row r="60" spans="1:15" x14ac:dyDescent="0.2">
      <c r="A60" t="s">
        <v>18</v>
      </c>
      <c r="B60"/>
      <c r="F60"/>
      <c r="G60"/>
      <c r="H60"/>
      <c r="I60"/>
      <c r="J60"/>
      <c r="K60"/>
      <c r="L60"/>
      <c r="M60" s="2"/>
    </row>
    <row r="61" spans="1:15" x14ac:dyDescent="0.2">
      <c r="A61"/>
      <c r="B61" s="2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5" ht="12" thickBot="1" x14ac:dyDescent="0.25">
      <c r="A62" s="104"/>
      <c r="B62" s="22" t="str">
        <f>D12&amp;" - "&amp;K12&amp;" = "&amp;C12&amp;" fitted to linear and exponential distributions"</f>
        <v>(3) - (10) = (2) fitted to linear and exponential distributions</v>
      </c>
      <c r="C62" s="104"/>
      <c r="D62" s="104"/>
      <c r="E62" s="104"/>
      <c r="F62" s="104"/>
      <c r="G62" s="104"/>
      <c r="H62" s="104"/>
      <c r="I62" s="104"/>
      <c r="J62" s="104"/>
      <c r="K62"/>
      <c r="L62"/>
      <c r="M62" s="2"/>
    </row>
    <row r="63" spans="1:15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N69"/>
  <sheetViews>
    <sheetView topLeftCell="A22" zoomScaleNormal="100" workbookViewId="0">
      <selection activeCell="M67" sqref="M67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68</v>
      </c>
      <c r="M1" s="1"/>
    </row>
    <row r="2" spans="1:14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59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12" t="s">
        <v>240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12" t="s">
        <v>266</v>
      </c>
      <c r="C5"/>
      <c r="D5"/>
      <c r="E5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A8"/>
      <c r="B8"/>
      <c r="C8"/>
      <c r="D8"/>
      <c r="E8"/>
      <c r="F8"/>
      <c r="G8" s="50"/>
      <c r="H8"/>
      <c r="I8" s="50"/>
      <c r="J8" s="50"/>
      <c r="K8" s="50"/>
      <c r="L8" s="50"/>
      <c r="M8" s="2"/>
      <c r="N8" t="s">
        <v>242</v>
      </c>
    </row>
    <row r="9" spans="1:14" x14ac:dyDescent="0.2">
      <c r="A9"/>
      <c r="B9"/>
      <c r="C9" s="22" t="s">
        <v>256</v>
      </c>
      <c r="D9" s="10" t="s">
        <v>257</v>
      </c>
      <c r="E9"/>
      <c r="F9"/>
      <c r="G9"/>
      <c r="H9"/>
      <c r="I9"/>
      <c r="J9"/>
      <c r="K9"/>
      <c r="L9"/>
      <c r="M9" s="2"/>
      <c r="N9" s="88">
        <f>'3.3b'!$N$9</f>
        <v>43465</v>
      </c>
    </row>
    <row r="10" spans="1:14" x14ac:dyDescent="0.2">
      <c r="A10" t="s">
        <v>243</v>
      </c>
      <c r="B10"/>
      <c r="C10" t="s">
        <v>245</v>
      </c>
      <c r="D10" t="s">
        <v>258</v>
      </c>
      <c r="E10"/>
      <c r="F10" t="s">
        <v>259</v>
      </c>
      <c r="G10"/>
      <c r="H10" t="s">
        <v>260</v>
      </c>
      <c r="I10"/>
      <c r="J10" t="s">
        <v>261</v>
      </c>
      <c r="K10"/>
      <c r="L10"/>
      <c r="M10" s="2"/>
    </row>
    <row r="11" spans="1:14" x14ac:dyDescent="0.2">
      <c r="A11" s="9" t="s">
        <v>35</v>
      </c>
      <c r="B11" s="9"/>
      <c r="C11" s="9" t="s">
        <v>239</v>
      </c>
      <c r="D11" s="9" t="s">
        <v>262</v>
      </c>
      <c r="E11" s="9" t="s">
        <v>263</v>
      </c>
      <c r="F11" s="9" t="s">
        <v>262</v>
      </c>
      <c r="G11" s="9" t="s">
        <v>263</v>
      </c>
      <c r="H11" s="9" t="s">
        <v>262</v>
      </c>
      <c r="I11" s="9" t="s">
        <v>263</v>
      </c>
      <c r="J11" s="9" t="s">
        <v>262</v>
      </c>
      <c r="K11" s="9" t="s">
        <v>263</v>
      </c>
      <c r="L11" s="50"/>
      <c r="M11" s="2"/>
      <c r="N11" s="9" t="s">
        <v>239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12" t="str">
        <f t="shared" ref="A14:A52" si="1">TEXT(DATE(YEAR(A15+1),MONTH(A15+1)-3,1)-1,"m/d/yyyy")</f>
        <v>3/31/2009</v>
      </c>
      <c r="B14" s="25"/>
      <c r="C14" s="236">
        <f>'[2]Boeckh (R)'!$E50</f>
        <v>2036.3703293750002</v>
      </c>
      <c r="D14" s="121">
        <f>TREND($C$14:$C$53,$N$14:$N$53,$N14,TRUE)</f>
        <v>2008.851185478401</v>
      </c>
      <c r="E14" s="121">
        <f>GROWTH($C$14:$C$53,$N$14:$N$53,$N14,TRUE)</f>
        <v>2015.1439780423225</v>
      </c>
      <c r="F14" s="121"/>
      <c r="G14" s="121"/>
      <c r="H14" s="36"/>
      <c r="I14"/>
      <c r="J14" s="36"/>
      <c r="K14"/>
      <c r="L14"/>
      <c r="M14" s="2"/>
      <c r="N14" s="12">
        <f t="shared" ref="N14:N53" si="2">YEAR(A14)+MONTH(A14)/12</f>
        <v>2009.25</v>
      </c>
    </row>
    <row r="15" spans="1:14" x14ac:dyDescent="0.2">
      <c r="A15" s="12" t="str">
        <f t="shared" si="1"/>
        <v>6/30/2009</v>
      </c>
      <c r="B15" s="25"/>
      <c r="C15" s="236">
        <f>'[2]Boeckh (R)'!$E51</f>
        <v>2055.5519091666665</v>
      </c>
      <c r="D15" s="121">
        <f>TREND($C$14:$C$53,$N$14:$N$53,$N15,TRUE)</f>
        <v>2019.484777375008</v>
      </c>
      <c r="E15" s="121">
        <f>GROWTH($C$14:$C$53,$N$14:$N$53,$N15,TRUE)</f>
        <v>2024.8276428892311</v>
      </c>
      <c r="F15" s="121"/>
      <c r="G15" s="121"/>
      <c r="H15" s="36"/>
      <c r="I15"/>
      <c r="J15" s="36"/>
      <c r="K15"/>
      <c r="L15"/>
      <c r="M15" s="2"/>
      <c r="N15" s="12">
        <f t="shared" si="2"/>
        <v>2009.5</v>
      </c>
    </row>
    <row r="16" spans="1:14" x14ac:dyDescent="0.2">
      <c r="A16" s="12" t="str">
        <f t="shared" si="1"/>
        <v>9/30/2009</v>
      </c>
      <c r="B16" s="25"/>
      <c r="C16" s="236">
        <f>'[2]Boeckh (R)'!$E52</f>
        <v>2068.5793746874997</v>
      </c>
      <c r="D16" s="121">
        <f>TREND($C$14:$C$53,$N$14:$N$53,$N16,TRUE)</f>
        <v>2030.1183692716004</v>
      </c>
      <c r="E16" s="121">
        <f>GROWTH($C$14:$C$53,$N$14:$N$53,$N16,TRUE)</f>
        <v>2034.5578420611755</v>
      </c>
      <c r="F16" s="121"/>
      <c r="G16" s="121"/>
      <c r="H16" s="36"/>
      <c r="I16"/>
      <c r="J16" s="36"/>
      <c r="K16"/>
      <c r="L16"/>
      <c r="M16" s="2"/>
      <c r="N16" s="12">
        <f t="shared" si="2"/>
        <v>2009.75</v>
      </c>
    </row>
    <row r="17" spans="1:14" x14ac:dyDescent="0.2">
      <c r="A17" s="12" t="str">
        <f t="shared" si="1"/>
        <v>12/31/2009</v>
      </c>
      <c r="B17" s="25"/>
      <c r="C17" s="236">
        <f>'[2]Boeckh (R)'!$E53</f>
        <v>2075.3438589583334</v>
      </c>
      <c r="D17" s="121">
        <f>TREND($C$14:$C$53,$N$14:$N$53,$N17,TRUE)</f>
        <v>2040.7519611682073</v>
      </c>
      <c r="E17" s="121">
        <f>GROWTH($C$14:$C$53,$N$14:$N$53,$N17,TRUE)</f>
        <v>2044.3347991763242</v>
      </c>
      <c r="F17" s="121"/>
      <c r="G17" s="121"/>
      <c r="H17" s="36"/>
      <c r="I17"/>
      <c r="J17" s="36"/>
      <c r="K17"/>
      <c r="L17"/>
      <c r="M17" s="2"/>
      <c r="N17" s="12">
        <f t="shared" si="2"/>
        <v>2010</v>
      </c>
    </row>
    <row r="18" spans="1:14" x14ac:dyDescent="0.2">
      <c r="A18" s="12" t="str">
        <f t="shared" si="1"/>
        <v>3/31/2010</v>
      </c>
      <c r="B18" s="25"/>
      <c r="C18" s="236">
        <f>'[2]Boeckh (R)'!$E54</f>
        <v>2075.0139716666663</v>
      </c>
      <c r="D18" s="121">
        <f>TREND($C$14:$C$53,$N$14:$N$53,$N18,TRUE)</f>
        <v>2051.3855530648143</v>
      </c>
      <c r="E18" s="121">
        <f t="shared" ref="E18:E53" si="3">GROWTH($C$14:$C$53,$N$14:$N$53,$N18,TRUE)</f>
        <v>2054.1587389274473</v>
      </c>
      <c r="F18" s="121"/>
      <c r="G18" s="121"/>
      <c r="H18" s="36"/>
      <c r="I18"/>
      <c r="J18" s="36"/>
      <c r="K18"/>
      <c r="L18"/>
      <c r="M18" s="2"/>
      <c r="N18" s="12">
        <f t="shared" si="2"/>
        <v>2010.25</v>
      </c>
    </row>
    <row r="19" spans="1:14" x14ac:dyDescent="0.2">
      <c r="A19" s="12" t="str">
        <f t="shared" si="1"/>
        <v>6/30/2010</v>
      </c>
      <c r="B19" s="25"/>
      <c r="C19" s="236">
        <f>'[2]Boeckh (R)'!$E55</f>
        <v>2072.6816296874995</v>
      </c>
      <c r="D19" s="121">
        <f t="shared" ref="D19:D53" si="4">TREND($C$14:$C$53,$N$14:$N$53,$N19,TRUE)</f>
        <v>2062.0191449614067</v>
      </c>
      <c r="E19" s="121">
        <f t="shared" si="3"/>
        <v>2064.0298870870174</v>
      </c>
      <c r="F19" s="121"/>
      <c r="G19" s="121"/>
      <c r="H19" s="36"/>
      <c r="I19"/>
      <c r="J19" s="36"/>
      <c r="K19"/>
      <c r="L19"/>
      <c r="M19" s="2"/>
      <c r="N19" s="12">
        <f t="shared" si="2"/>
        <v>2010.5</v>
      </c>
    </row>
    <row r="20" spans="1:14" x14ac:dyDescent="0.2">
      <c r="A20" s="12" t="str">
        <f t="shared" si="1"/>
        <v>9/30/2010</v>
      </c>
      <c r="B20" s="25"/>
      <c r="C20" s="236">
        <f>'[2]Boeckh (R)'!$E56</f>
        <v>2070.9022325625001</v>
      </c>
      <c r="D20" s="121">
        <f t="shared" si="4"/>
        <v>2072.6527368580137</v>
      </c>
      <c r="E20" s="121">
        <f t="shared" si="3"/>
        <v>2073.948470512491</v>
      </c>
      <c r="F20" s="121"/>
      <c r="G20" s="121"/>
      <c r="H20" s="36"/>
      <c r="I20"/>
      <c r="J20" s="36"/>
      <c r="K20"/>
      <c r="L20"/>
      <c r="M20" s="2"/>
      <c r="N20" s="12">
        <f t="shared" si="2"/>
        <v>2010.75</v>
      </c>
    </row>
    <row r="21" spans="1:14" x14ac:dyDescent="0.2">
      <c r="A21" s="12" t="str">
        <f t="shared" si="1"/>
        <v>12/31/2010</v>
      </c>
      <c r="B21" s="25"/>
      <c r="C21" s="236">
        <f>'[2]Boeckh (R)'!$E57</f>
        <v>2070.5411396607142</v>
      </c>
      <c r="D21" s="121">
        <f t="shared" si="4"/>
        <v>2083.2863287546061</v>
      </c>
      <c r="E21" s="121">
        <f t="shared" si="3"/>
        <v>2083.9147171514596</v>
      </c>
      <c r="F21" s="121"/>
      <c r="G21" s="121"/>
      <c r="H21" s="36"/>
      <c r="I21"/>
      <c r="J21" s="36"/>
      <c r="K21"/>
      <c r="L21"/>
      <c r="M21" s="2"/>
      <c r="N21" s="12">
        <f t="shared" si="2"/>
        <v>2011</v>
      </c>
    </row>
    <row r="22" spans="1:14" x14ac:dyDescent="0.2">
      <c r="A22" s="12" t="str">
        <f t="shared" si="1"/>
        <v>3/31/2011</v>
      </c>
      <c r="B22" s="25"/>
      <c r="C22" s="236">
        <f>'[2]Boeckh (R)'!$E58</f>
        <v>2073.3526863214288</v>
      </c>
      <c r="D22" s="121">
        <f t="shared" si="4"/>
        <v>2093.919920651213</v>
      </c>
      <c r="E22" s="121">
        <f t="shared" si="3"/>
        <v>2093.9288560469045</v>
      </c>
      <c r="F22" s="121"/>
      <c r="G22" s="121"/>
      <c r="H22" s="36"/>
      <c r="I22"/>
      <c r="J22" s="36"/>
      <c r="K22"/>
      <c r="L22"/>
      <c r="M22" s="2"/>
      <c r="N22" s="12">
        <f t="shared" si="2"/>
        <v>2011.25</v>
      </c>
    </row>
    <row r="23" spans="1:14" x14ac:dyDescent="0.2">
      <c r="A23" s="12" t="str">
        <f t="shared" si="1"/>
        <v>6/30/2011</v>
      </c>
      <c r="B23" s="51"/>
      <c r="C23" s="236">
        <f>'[2]Boeckh (R)'!$E59</f>
        <v>2074.4086932410714</v>
      </c>
      <c r="D23" s="121">
        <f t="shared" si="4"/>
        <v>2104.5535125478054</v>
      </c>
      <c r="E23" s="121">
        <f t="shared" si="3"/>
        <v>2103.9911173424616</v>
      </c>
      <c r="F23" s="121"/>
      <c r="G23" s="121"/>
      <c r="H23" s="36"/>
      <c r="I23"/>
      <c r="J23" s="36"/>
      <c r="K23"/>
      <c r="L23"/>
      <c r="M23" s="2"/>
      <c r="N23" s="12">
        <f t="shared" si="2"/>
        <v>2011.5</v>
      </c>
    </row>
    <row r="24" spans="1:14" x14ac:dyDescent="0.2">
      <c r="A24" s="12" t="str">
        <f t="shared" si="1"/>
        <v>9/30/2011</v>
      </c>
      <c r="B24"/>
      <c r="C24" s="236">
        <f>'[2]Boeckh (R)'!$E60</f>
        <v>2078.0351768244045</v>
      </c>
      <c r="D24" s="121">
        <f t="shared" si="4"/>
        <v>2115.1871044444124</v>
      </c>
      <c r="E24" s="121">
        <f t="shared" si="3"/>
        <v>2114.1017322877078</v>
      </c>
      <c r="F24" s="121"/>
      <c r="G24" s="121"/>
      <c r="H24"/>
      <c r="I24"/>
      <c r="J24"/>
      <c r="K24"/>
      <c r="L24"/>
      <c r="M24" s="2"/>
      <c r="N24" s="12">
        <f t="shared" si="2"/>
        <v>2011.75</v>
      </c>
    </row>
    <row r="25" spans="1:14" x14ac:dyDescent="0.2">
      <c r="A25" s="12" t="str">
        <f t="shared" si="1"/>
        <v>12/31/2011</v>
      </c>
      <c r="B25"/>
      <c r="C25" s="236">
        <f>'[2]Boeckh (R)'!$E61</f>
        <v>2083.4068668095238</v>
      </c>
      <c r="D25" s="121">
        <f t="shared" si="4"/>
        <v>2125.8206963410194</v>
      </c>
      <c r="E25" s="121">
        <f t="shared" si="3"/>
        <v>2124.2609332434786</v>
      </c>
      <c r="F25" s="121"/>
      <c r="G25" s="121"/>
      <c r="H25"/>
      <c r="I25"/>
      <c r="J25"/>
      <c r="K25"/>
      <c r="L25"/>
      <c r="M25" s="2"/>
      <c r="N25" s="12">
        <f t="shared" si="2"/>
        <v>2012</v>
      </c>
    </row>
    <row r="26" spans="1:14" x14ac:dyDescent="0.2">
      <c r="A26" s="12" t="str">
        <f t="shared" si="1"/>
        <v>3/31/2012</v>
      </c>
      <c r="B26"/>
      <c r="C26" s="236">
        <f>'[2]Boeckh (R)'!$E62</f>
        <v>2089.9124423363091</v>
      </c>
      <c r="D26" s="121">
        <f t="shared" si="4"/>
        <v>2136.4542882376118</v>
      </c>
      <c r="E26" s="121">
        <f t="shared" si="3"/>
        <v>2134.4689536872065</v>
      </c>
      <c r="F26" s="121"/>
      <c r="G26" s="121"/>
      <c r="H26"/>
      <c r="I26"/>
      <c r="J26"/>
      <c r="K26"/>
      <c r="L26"/>
      <c r="M26" s="2"/>
      <c r="N26" s="12">
        <f t="shared" si="2"/>
        <v>2012.25</v>
      </c>
    </row>
    <row r="27" spans="1:14" x14ac:dyDescent="0.2">
      <c r="A27" s="12" t="str">
        <f t="shared" si="1"/>
        <v>6/30/2012</v>
      </c>
      <c r="B27"/>
      <c r="C27" s="236">
        <f>'[2]Boeckh (R)'!$E63</f>
        <v>2099.2861185416664</v>
      </c>
      <c r="D27" s="121">
        <f t="shared" si="4"/>
        <v>2147.0878801342187</v>
      </c>
      <c r="E27" s="121">
        <f t="shared" si="3"/>
        <v>2144.7260282183029</v>
      </c>
      <c r="F27" s="121"/>
      <c r="G27" s="121"/>
      <c r="H27"/>
      <c r="I27"/>
      <c r="J27"/>
      <c r="K27"/>
      <c r="L27"/>
      <c r="M27" s="2"/>
      <c r="N27" s="12">
        <f t="shared" si="2"/>
        <v>2012.5</v>
      </c>
    </row>
    <row r="28" spans="1:14" x14ac:dyDescent="0.2">
      <c r="A28" s="12" t="str">
        <f t="shared" si="1"/>
        <v>9/30/2012</v>
      </c>
      <c r="B28"/>
      <c r="C28" s="236">
        <f>'[2]Boeckh (R)'!$E64</f>
        <v>2118.7728055208336</v>
      </c>
      <c r="D28" s="121">
        <f t="shared" si="4"/>
        <v>2157.7214720308111</v>
      </c>
      <c r="E28" s="121">
        <f t="shared" si="3"/>
        <v>2155.0323925634866</v>
      </c>
      <c r="F28" s="121"/>
      <c r="G28" s="121"/>
      <c r="H28"/>
      <c r="I28"/>
      <c r="J28"/>
      <c r="K28"/>
      <c r="L28"/>
      <c r="M28" s="2"/>
      <c r="N28" s="12">
        <f t="shared" si="2"/>
        <v>2012.75</v>
      </c>
    </row>
    <row r="29" spans="1:14" x14ac:dyDescent="0.2">
      <c r="A29" s="12" t="str">
        <f t="shared" si="1"/>
        <v>12/31/2012</v>
      </c>
      <c r="B29"/>
      <c r="C29" s="236">
        <f>'[2]Boeckh (R)'!$E65</f>
        <v>2139.8319890624998</v>
      </c>
      <c r="D29" s="121">
        <f>TREND($C$14:$C$53,$N$14:$N$53,$N29,TRUE)</f>
        <v>2168.3550639274181</v>
      </c>
      <c r="E29" s="121">
        <f t="shared" si="3"/>
        <v>2165.3882835822965</v>
      </c>
      <c r="F29" s="121"/>
      <c r="G29" s="121"/>
      <c r="H29"/>
      <c r="I29"/>
      <c r="J29"/>
      <c r="K29"/>
      <c r="L29"/>
      <c r="M29" s="2"/>
      <c r="N29" s="12">
        <f t="shared" si="2"/>
        <v>2013</v>
      </c>
    </row>
    <row r="30" spans="1:14" x14ac:dyDescent="0.2">
      <c r="A30" s="12" t="str">
        <f t="shared" si="1"/>
        <v>3/31/2013</v>
      </c>
      <c r="B30"/>
      <c r="C30" s="236">
        <f>'[2]Boeckh (R)'!$E66</f>
        <v>2157.6929340625002</v>
      </c>
      <c r="D30" s="121">
        <f t="shared" si="4"/>
        <v>2178.988655824025</v>
      </c>
      <c r="E30" s="121">
        <f t="shared" si="3"/>
        <v>2175.7939392724693</v>
      </c>
      <c r="F30" s="121"/>
      <c r="G30" s="121"/>
      <c r="H30"/>
      <c r="I30"/>
      <c r="J30"/>
      <c r="K30"/>
      <c r="L30"/>
      <c r="M30" s="2"/>
      <c r="N30" s="12">
        <f t="shared" si="2"/>
        <v>2013.25</v>
      </c>
    </row>
    <row r="31" spans="1:14" x14ac:dyDescent="0.2">
      <c r="A31" s="12" t="str">
        <f t="shared" si="1"/>
        <v>6/30/2013</v>
      </c>
      <c r="B31" s="116"/>
      <c r="C31" s="236">
        <f>'[2]Boeckh (R)'!$E67</f>
        <v>2175.5875087499999</v>
      </c>
      <c r="D31" s="121">
        <f t="shared" si="4"/>
        <v>2189.6222477206175</v>
      </c>
      <c r="E31" s="121">
        <f t="shared" si="3"/>
        <v>2186.2495987754291</v>
      </c>
      <c r="F31" s="121"/>
      <c r="G31" s="121"/>
      <c r="H31" s="29"/>
      <c r="I31" s="108"/>
      <c r="J31" s="29"/>
      <c r="K31" s="108"/>
      <c r="L31" s="108"/>
      <c r="M31" s="2"/>
      <c r="N31" s="12">
        <f t="shared" si="2"/>
        <v>2013.5</v>
      </c>
    </row>
    <row r="32" spans="1:14" x14ac:dyDescent="0.2">
      <c r="A32" s="12" t="str">
        <f t="shared" si="1"/>
        <v>9/30/2013</v>
      </c>
      <c r="B32" s="116"/>
      <c r="C32" s="236">
        <f>'[2]Boeckh (R)'!$E68</f>
        <v>2189.5754593749998</v>
      </c>
      <c r="D32" s="121">
        <f t="shared" si="4"/>
        <v>2200.2558396172244</v>
      </c>
      <c r="E32" s="121">
        <f t="shared" si="3"/>
        <v>2196.7555023817795</v>
      </c>
      <c r="F32" s="121"/>
      <c r="G32" s="121"/>
      <c r="H32" s="29"/>
      <c r="I32" s="108"/>
      <c r="J32" s="29"/>
      <c r="K32" s="108"/>
      <c r="L32" s="108"/>
      <c r="M32" s="2"/>
      <c r="N32" s="12">
        <f t="shared" si="2"/>
        <v>2013.75</v>
      </c>
    </row>
    <row r="33" spans="1:14" x14ac:dyDescent="0.2">
      <c r="A33" s="12" t="str">
        <f t="shared" si="1"/>
        <v>12/31/2013</v>
      </c>
      <c r="B33" s="51"/>
      <c r="C33" s="236">
        <f>'[2]Boeckh (R)'!$E69</f>
        <v>2203.3253506249994</v>
      </c>
      <c r="D33" s="121">
        <f t="shared" si="4"/>
        <v>2210.8894315138168</v>
      </c>
      <c r="E33" s="121">
        <f t="shared" si="3"/>
        <v>2207.3118915368282</v>
      </c>
      <c r="F33" s="121"/>
      <c r="G33" s="121"/>
      <c r="H33" s="29"/>
      <c r="I33" s="108"/>
      <c r="J33" s="29"/>
      <c r="K33" s="108"/>
      <c r="L33" s="108"/>
      <c r="M33" s="2"/>
      <c r="N33" s="12">
        <f t="shared" si="2"/>
        <v>2014</v>
      </c>
    </row>
    <row r="34" spans="1:14" x14ac:dyDescent="0.2">
      <c r="A34" s="12" t="str">
        <f t="shared" si="1"/>
        <v>3/31/2014</v>
      </c>
      <c r="B34" s="51"/>
      <c r="C34" s="236">
        <f>'[2]Boeckh (R)'!$E70</f>
        <v>2227.6634887499999</v>
      </c>
      <c r="D34" s="121">
        <f t="shared" si="4"/>
        <v>2221.5230234104238</v>
      </c>
      <c r="E34" s="121">
        <f t="shared" si="3"/>
        <v>2217.9190088461355</v>
      </c>
      <c r="F34" s="121">
        <f>TREND($C$34:$C$53,$N$34:$N$53,$N34,TRUE)</f>
        <v>2252.4849062142821</v>
      </c>
      <c r="G34" s="121">
        <f t="shared" ref="G34:G53" si="5">GROWTH($C$34:$C$53,$N$34:$N$53,$N34,TRUE)</f>
        <v>2253.5420384637368</v>
      </c>
      <c r="H34" s="29"/>
      <c r="I34" s="108"/>
      <c r="J34" s="29"/>
      <c r="K34" s="108"/>
      <c r="L34" s="108"/>
      <c r="M34" s="2"/>
      <c r="N34" s="12">
        <f t="shared" si="2"/>
        <v>2014.25</v>
      </c>
    </row>
    <row r="35" spans="1:14" x14ac:dyDescent="0.2">
      <c r="A35" s="12" t="str">
        <f t="shared" si="1"/>
        <v>6/30/2014</v>
      </c>
      <c r="B35" s="116"/>
      <c r="C35" s="236">
        <f>'[2]Boeckh (R)'!$E71</f>
        <v>2252.5887062499996</v>
      </c>
      <c r="D35" s="121">
        <f t="shared" si="4"/>
        <v>2232.1566153070162</v>
      </c>
      <c r="E35" s="121">
        <f t="shared" si="3"/>
        <v>2228.5770980810889</v>
      </c>
      <c r="F35" s="121">
        <f t="shared" ref="F35:F53" si="6">TREND($C$34:$C$53,$N$34:$N$53,$N35,TRUE)</f>
        <v>2260.8553193562038</v>
      </c>
      <c r="G35" s="121">
        <f t="shared" si="5"/>
        <v>2261.6093702942076</v>
      </c>
      <c r="H35" s="36"/>
      <c r="I35" s="108"/>
      <c r="J35" s="36"/>
      <c r="K35" s="108"/>
      <c r="L35" s="108"/>
      <c r="M35" s="2"/>
      <c r="N35" s="12">
        <f t="shared" si="2"/>
        <v>2014.5</v>
      </c>
    </row>
    <row r="36" spans="1:14" x14ac:dyDescent="0.2">
      <c r="A36" s="12" t="str">
        <f t="shared" si="1"/>
        <v>9/30/2014</v>
      </c>
      <c r="B36" s="22"/>
      <c r="C36" s="236">
        <f>'[2]Boeckh (R)'!$E72</f>
        <v>2274.9542849999998</v>
      </c>
      <c r="D36" s="121">
        <f t="shared" si="4"/>
        <v>2242.7902072036231</v>
      </c>
      <c r="E36" s="121">
        <f t="shared" si="3"/>
        <v>2239.2864041845223</v>
      </c>
      <c r="F36" s="121">
        <f t="shared" si="6"/>
        <v>2269.2257324981256</v>
      </c>
      <c r="G36" s="121">
        <f t="shared" si="5"/>
        <v>2269.7055819244483</v>
      </c>
      <c r="H36"/>
      <c r="I36"/>
      <c r="J36"/>
      <c r="K36"/>
      <c r="L36"/>
      <c r="M36" s="2"/>
      <c r="N36" s="12">
        <f t="shared" si="2"/>
        <v>2014.75</v>
      </c>
    </row>
    <row r="37" spans="1:14" x14ac:dyDescent="0.2">
      <c r="A37" s="12" t="str">
        <f t="shared" si="1"/>
        <v>12/31/2014</v>
      </c>
      <c r="B37" s="22"/>
      <c r="C37" s="236">
        <f>'[2]Boeckh (R)'!$E73</f>
        <v>2296.7249009375</v>
      </c>
      <c r="D37" s="121">
        <f t="shared" si="4"/>
        <v>2253.4237991002301</v>
      </c>
      <c r="E37" s="121">
        <f t="shared" si="3"/>
        <v>2250.0471732762817</v>
      </c>
      <c r="F37" s="121">
        <f t="shared" si="6"/>
        <v>2277.5961456400328</v>
      </c>
      <c r="G37" s="121">
        <f t="shared" si="5"/>
        <v>2277.8307767396823</v>
      </c>
      <c r="H37"/>
      <c r="J37"/>
      <c r="M37" s="2"/>
      <c r="N37" s="12">
        <f t="shared" si="2"/>
        <v>2015</v>
      </c>
    </row>
    <row r="38" spans="1:14" x14ac:dyDescent="0.2">
      <c r="A38" s="12" t="str">
        <f t="shared" si="1"/>
        <v>3/31/2015</v>
      </c>
      <c r="B38" s="22"/>
      <c r="C38" s="236">
        <f>'[2]Boeckh (R)'!$E74</f>
        <v>2310.5328143750003</v>
      </c>
      <c r="D38" s="121">
        <f t="shared" si="4"/>
        <v>2264.0573909968225</v>
      </c>
      <c r="E38" s="121">
        <f t="shared" si="3"/>
        <v>2260.8596526589754</v>
      </c>
      <c r="F38" s="121">
        <f t="shared" si="6"/>
        <v>2285.9665587819545</v>
      </c>
      <c r="G38" s="121">
        <f t="shared" si="5"/>
        <v>2285.9850584952355</v>
      </c>
      <c r="H38" s="121">
        <f>TREND($C$38:$C$53,$N$38:$N$53,$N38,TRUE)</f>
        <v>2289.9051716682006</v>
      </c>
      <c r="I38" s="121">
        <f t="shared" ref="I38:I53" si="7">GROWTH($C$38:$C$53,$N$38:$N$53,$N38,TRUE)</f>
        <v>2290.8679422266241</v>
      </c>
      <c r="J38" s="108"/>
      <c r="K38" s="108"/>
      <c r="L38" s="108"/>
      <c r="M38" s="2"/>
      <c r="N38" s="12">
        <f t="shared" si="2"/>
        <v>2015.25</v>
      </c>
    </row>
    <row r="39" spans="1:14" x14ac:dyDescent="0.2">
      <c r="A39" s="12" t="str">
        <f t="shared" si="1"/>
        <v>6/30/2015</v>
      </c>
      <c r="B39" s="22"/>
      <c r="C39" s="236">
        <f>'[2]Boeckh (R)'!$E75</f>
        <v>2322.4784609375001</v>
      </c>
      <c r="D39" s="121">
        <f t="shared" si="4"/>
        <v>2274.6909828934295</v>
      </c>
      <c r="E39" s="121">
        <f t="shared" si="3"/>
        <v>2271.7240908235958</v>
      </c>
      <c r="F39" s="121">
        <f t="shared" si="6"/>
        <v>2294.3369719238763</v>
      </c>
      <c r="G39" s="121">
        <f t="shared" si="5"/>
        <v>2294.1685313178382</v>
      </c>
      <c r="H39" s="121">
        <f t="shared" ref="H39:H53" si="8">TREND($C$38:$C$53,$N$38:$N$53,$N39,TRUE)</f>
        <v>2297.8190257817114</v>
      </c>
      <c r="I39" s="121">
        <f t="shared" si="7"/>
        <v>2298.5102206740007</v>
      </c>
      <c r="J39" s="108"/>
      <c r="K39" s="108"/>
      <c r="L39" s="108"/>
      <c r="M39" s="2"/>
      <c r="N39" s="12">
        <f t="shared" si="2"/>
        <v>2015.5</v>
      </c>
    </row>
    <row r="40" spans="1:14" x14ac:dyDescent="0.2">
      <c r="A40" s="12" t="str">
        <f t="shared" si="1"/>
        <v>9/30/2015</v>
      </c>
      <c r="B40" s="22"/>
      <c r="C40" s="236">
        <f>'[2]Boeckh (R)'!$E76</f>
        <v>2330.3377737500005</v>
      </c>
      <c r="D40" s="121">
        <f>TREND($C$14:$C$53,$N$14:$N$53,$N40,TRUE)</f>
        <v>2285.3245747900219</v>
      </c>
      <c r="E40" s="121">
        <f t="shared" si="3"/>
        <v>2282.640737455245</v>
      </c>
      <c r="F40" s="121">
        <f t="shared" si="6"/>
        <v>2302.707385065798</v>
      </c>
      <c r="G40" s="121">
        <f t="shared" si="5"/>
        <v>2302.3812997070095</v>
      </c>
      <c r="H40" s="121">
        <f t="shared" si="8"/>
        <v>2305.7328798952294</v>
      </c>
      <c r="I40" s="121">
        <f t="shared" si="7"/>
        <v>2306.1779935721006</v>
      </c>
      <c r="J40" s="108"/>
      <c r="K40" s="108"/>
      <c r="L40" s="108"/>
      <c r="M40" s="2"/>
      <c r="N40" s="12">
        <f t="shared" si="2"/>
        <v>2015.75</v>
      </c>
    </row>
    <row r="41" spans="1:14" x14ac:dyDescent="0.2">
      <c r="A41" s="12" t="str">
        <f t="shared" si="1"/>
        <v>12/31/2015</v>
      </c>
      <c r="B41" s="22"/>
      <c r="C41" s="236">
        <f>'[2]Boeckh (R)'!$E77</f>
        <v>2333.2109853125003</v>
      </c>
      <c r="D41" s="121">
        <f t="shared" si="4"/>
        <v>2295.9581666866288</v>
      </c>
      <c r="E41" s="121">
        <f t="shared" si="3"/>
        <v>2293.6098434388741</v>
      </c>
      <c r="F41" s="121">
        <f t="shared" si="6"/>
        <v>2311.0777982077052</v>
      </c>
      <c r="G41" s="121">
        <f t="shared" si="5"/>
        <v>2310.6234685363293</v>
      </c>
      <c r="H41" s="121">
        <f t="shared" si="8"/>
        <v>2313.6467340087402</v>
      </c>
      <c r="I41" s="121">
        <f t="shared" si="7"/>
        <v>2313.8713459697697</v>
      </c>
      <c r="J41" s="50"/>
      <c r="K41" s="60"/>
      <c r="L41" s="60"/>
      <c r="M41" s="2"/>
      <c r="N41" s="12">
        <f t="shared" si="2"/>
        <v>2016</v>
      </c>
    </row>
    <row r="42" spans="1:14" x14ac:dyDescent="0.2">
      <c r="A42" s="12" t="str">
        <f t="shared" si="1"/>
        <v>3/31/2016</v>
      </c>
      <c r="C42" s="236">
        <f>'[2]Boeckh (R)'!$E78</f>
        <v>2328.5980481249999</v>
      </c>
      <c r="D42" s="121">
        <f t="shared" si="4"/>
        <v>2306.5917585832212</v>
      </c>
      <c r="E42" s="121">
        <f t="shared" si="3"/>
        <v>2304.6316608650463</v>
      </c>
      <c r="F42" s="121">
        <f t="shared" si="6"/>
        <v>2319.4482113496269</v>
      </c>
      <c r="G42" s="121">
        <f t="shared" si="5"/>
        <v>2318.8951430548409</v>
      </c>
      <c r="H42" s="121">
        <f t="shared" si="8"/>
        <v>2321.5605881222509</v>
      </c>
      <c r="I42" s="121">
        <f t="shared" si="7"/>
        <v>2321.590363199597</v>
      </c>
      <c r="J42" s="121">
        <f>TREND($C$42:$C$53,$N$42:$N$53,$N42,TRUE)</f>
        <v>2286.5185127964796</v>
      </c>
      <c r="K42" s="121">
        <f t="shared" ref="K42:K53" si="9">GROWTH($C$42:$C$53,$N$42:$N$53,$N42,TRUE)</f>
        <v>2287.6201076156731</v>
      </c>
      <c r="L42" s="121"/>
      <c r="M42" s="2"/>
      <c r="N42" s="12">
        <f t="shared" si="2"/>
        <v>2016.25</v>
      </c>
    </row>
    <row r="43" spans="1:14" x14ac:dyDescent="0.2">
      <c r="A43" s="12" t="str">
        <f t="shared" si="1"/>
        <v>6/30/2016</v>
      </c>
      <c r="B43" s="116"/>
      <c r="C43" s="236">
        <f>'[2]Boeckh (R)'!$E79</f>
        <v>2320.7448587499998</v>
      </c>
      <c r="D43" s="121">
        <f>TREND($C$14:$C$53,$N$14:$N$53,$N43,TRUE)</f>
        <v>2317.2253504798282</v>
      </c>
      <c r="E43" s="121">
        <f t="shared" si="3"/>
        <v>2315.7064430357341</v>
      </c>
      <c r="F43" s="121">
        <f t="shared" si="6"/>
        <v>2327.8186244915487</v>
      </c>
      <c r="G43" s="121">
        <f t="shared" si="5"/>
        <v>2327.1964288883296</v>
      </c>
      <c r="H43" s="121">
        <f t="shared" si="8"/>
        <v>2329.4744422357617</v>
      </c>
      <c r="I43" s="121">
        <f t="shared" si="7"/>
        <v>2329.3351308788169</v>
      </c>
      <c r="J43" s="121">
        <f t="shared" ref="J43:J52" si="10">TREND($C$42:$C$53,$N$42:$N$53,$N43,TRUE)</f>
        <v>2299.4482560143515</v>
      </c>
      <c r="K43" s="121">
        <f t="shared" si="9"/>
        <v>2300.0982166014769</v>
      </c>
      <c r="L43" s="121"/>
      <c r="M43" s="2"/>
      <c r="N43" s="12">
        <f t="shared" si="2"/>
        <v>2016.5</v>
      </c>
    </row>
    <row r="44" spans="1:14" x14ac:dyDescent="0.2">
      <c r="A44" s="12" t="str">
        <f t="shared" si="1"/>
        <v>9/30/2016</v>
      </c>
      <c r="C44" s="236">
        <f>'[2]Boeckh (R)'!$E80</f>
        <v>2313.5318737499997</v>
      </c>
      <c r="D44" s="121">
        <f t="shared" si="4"/>
        <v>2327.8589423764352</v>
      </c>
      <c r="E44" s="121">
        <f t="shared" si="3"/>
        <v>2326.8344444701547</v>
      </c>
      <c r="F44" s="121">
        <f t="shared" si="6"/>
        <v>2336.1890376334559</v>
      </c>
      <c r="G44" s="121">
        <f t="shared" si="5"/>
        <v>2335.5274320407389</v>
      </c>
      <c r="H44" s="121">
        <f t="shared" si="8"/>
        <v>2337.3882963492724</v>
      </c>
      <c r="I44" s="121">
        <f t="shared" si="7"/>
        <v>2337.1057349102871</v>
      </c>
      <c r="J44" s="121">
        <f t="shared" si="10"/>
        <v>2312.3779992322379</v>
      </c>
      <c r="K44" s="121">
        <f t="shared" si="9"/>
        <v>2312.6443889879051</v>
      </c>
      <c r="L44" s="121"/>
      <c r="M44" s="2"/>
      <c r="N44" s="12">
        <f t="shared" si="2"/>
        <v>2016.75</v>
      </c>
    </row>
    <row r="45" spans="1:14" x14ac:dyDescent="0.2">
      <c r="A45" s="12" t="str">
        <f t="shared" si="1"/>
        <v>12/31/2016</v>
      </c>
      <c r="C45" s="236">
        <f>'[2]Boeckh (R)'!$E81</f>
        <v>2308.1033562499997</v>
      </c>
      <c r="D45" s="121">
        <f t="shared" si="4"/>
        <v>2338.4925342730276</v>
      </c>
      <c r="E45" s="121">
        <f t="shared" si="3"/>
        <v>2338.0159209105536</v>
      </c>
      <c r="F45" s="121">
        <f t="shared" si="6"/>
        <v>2344.5594507753776</v>
      </c>
      <c r="G45" s="121">
        <f t="shared" si="5"/>
        <v>2343.8882588954552</v>
      </c>
      <c r="H45" s="121">
        <f t="shared" si="8"/>
        <v>2345.3021504627832</v>
      </c>
      <c r="I45" s="121">
        <f t="shared" si="7"/>
        <v>2344.9022614834362</v>
      </c>
      <c r="J45" s="121">
        <f t="shared" si="10"/>
        <v>2325.3077424501098</v>
      </c>
      <c r="K45" s="121">
        <f t="shared" si="9"/>
        <v>2325.2589960352598</v>
      </c>
      <c r="L45" s="121"/>
      <c r="M45" s="2"/>
      <c r="N45" s="12">
        <f t="shared" si="2"/>
        <v>2017</v>
      </c>
    </row>
    <row r="46" spans="1:14" x14ac:dyDescent="0.2">
      <c r="A46" s="12" t="str">
        <f t="shared" si="1"/>
        <v>3/31/2017</v>
      </c>
      <c r="C46" s="236">
        <f>'[2]Boeckh (R)'!$E82</f>
        <v>2311.1714815625</v>
      </c>
      <c r="D46" s="121">
        <f t="shared" si="4"/>
        <v>2349.1261261696345</v>
      </c>
      <c r="E46" s="121">
        <f t="shared" si="3"/>
        <v>2349.2511293281818</v>
      </c>
      <c r="F46" s="121">
        <f t="shared" si="6"/>
        <v>2352.9298639172994</v>
      </c>
      <c r="G46" s="121">
        <f t="shared" si="5"/>
        <v>2352.2790162167357</v>
      </c>
      <c r="H46" s="121">
        <f t="shared" si="8"/>
        <v>2353.2160045762939</v>
      </c>
      <c r="I46" s="121">
        <f t="shared" si="7"/>
        <v>2352.7247970752178</v>
      </c>
      <c r="J46" s="121">
        <f t="shared" si="10"/>
        <v>2338.2374856679817</v>
      </c>
      <c r="K46" s="121">
        <f t="shared" si="9"/>
        <v>2337.9424110289274</v>
      </c>
      <c r="L46" s="121"/>
      <c r="M46" s="2"/>
      <c r="N46" s="12">
        <f t="shared" si="2"/>
        <v>2017.25</v>
      </c>
    </row>
    <row r="47" spans="1:14" x14ac:dyDescent="0.2">
      <c r="A47" s="12" t="str">
        <f t="shared" si="1"/>
        <v>6/30/2017</v>
      </c>
      <c r="C47" s="236">
        <f>'[2]Boeckh (R)'!$E83</f>
        <v>2323.7151659374999</v>
      </c>
      <c r="D47" s="121">
        <f t="shared" si="4"/>
        <v>2359.7597180662269</v>
      </c>
      <c r="E47" s="121">
        <f t="shared" si="3"/>
        <v>2360.5403279291359</v>
      </c>
      <c r="F47" s="121">
        <f t="shared" si="6"/>
        <v>2361.3002770592066</v>
      </c>
      <c r="G47" s="121">
        <f t="shared" si="5"/>
        <v>2360.6998111510034</v>
      </c>
      <c r="H47" s="121">
        <f t="shared" si="8"/>
        <v>2361.1298586898047</v>
      </c>
      <c r="I47" s="121">
        <f t="shared" si="7"/>
        <v>2360.5734284510627</v>
      </c>
      <c r="J47" s="121">
        <f t="shared" si="10"/>
        <v>2351.1672288858535</v>
      </c>
      <c r="K47" s="121">
        <f t="shared" si="9"/>
        <v>2350.6950092904267</v>
      </c>
      <c r="L47" s="121"/>
      <c r="M47" s="2"/>
      <c r="N47" s="12">
        <f t="shared" si="2"/>
        <v>2017.5</v>
      </c>
    </row>
    <row r="48" spans="1:14" x14ac:dyDescent="0.2">
      <c r="A48" s="12" t="str">
        <f t="shared" si="1"/>
        <v>9/30/2017</v>
      </c>
      <c r="B48" s="116"/>
      <c r="C48" s="236">
        <f>'[2]Boeckh (R)'!$E84</f>
        <v>2340.7207453125002</v>
      </c>
      <c r="D48" s="121">
        <f t="shared" si="4"/>
        <v>2370.3933099628339</v>
      </c>
      <c r="E48" s="121">
        <f t="shared" si="3"/>
        <v>2371.8837761603063</v>
      </c>
      <c r="F48" s="121">
        <f t="shared" si="6"/>
        <v>2369.6706902011283</v>
      </c>
      <c r="G48" s="121">
        <f t="shared" si="5"/>
        <v>2369.1507512282815</v>
      </c>
      <c r="H48" s="121">
        <f t="shared" si="8"/>
        <v>2369.0437128033154</v>
      </c>
      <c r="I48" s="121">
        <f t="shared" si="7"/>
        <v>2368.4482426658742</v>
      </c>
      <c r="J48" s="121">
        <f t="shared" si="10"/>
        <v>2364.09697210374</v>
      </c>
      <c r="K48" s="121">
        <f t="shared" si="9"/>
        <v>2363.5171681885158</v>
      </c>
      <c r="L48" s="121"/>
      <c r="M48" s="2"/>
      <c r="N48" s="12">
        <f t="shared" si="2"/>
        <v>2017.75</v>
      </c>
    </row>
    <row r="49" spans="1:14" x14ac:dyDescent="0.2">
      <c r="A49" s="12" t="str">
        <f t="shared" si="1"/>
        <v>12/31/2017</v>
      </c>
      <c r="C49" s="236">
        <f>'[2]Boeckh (R)'!$E85</f>
        <v>2359.9985725000001</v>
      </c>
      <c r="D49" s="121">
        <f t="shared" si="4"/>
        <v>2381.0269018594408</v>
      </c>
      <c r="E49" s="121">
        <f t="shared" si="3"/>
        <v>2383.2817347153423</v>
      </c>
      <c r="F49" s="121">
        <f t="shared" si="6"/>
        <v>2378.0411033430501</v>
      </c>
      <c r="G49" s="121">
        <f t="shared" si="5"/>
        <v>2377.6319443635011</v>
      </c>
      <c r="H49" s="121">
        <f t="shared" si="8"/>
        <v>2376.9575669168262</v>
      </c>
      <c r="I49" s="121">
        <f t="shared" si="7"/>
        <v>2376.3493270649424</v>
      </c>
      <c r="J49" s="121">
        <f t="shared" si="10"/>
        <v>2377.0267153216118</v>
      </c>
      <c r="K49" s="121">
        <f t="shared" si="9"/>
        <v>2376.4092671503549</v>
      </c>
      <c r="L49" s="121"/>
      <c r="M49" s="2"/>
      <c r="N49" s="12">
        <f t="shared" si="2"/>
        <v>2018</v>
      </c>
    </row>
    <row r="50" spans="1:14" x14ac:dyDescent="0.2">
      <c r="A50" s="12" t="str">
        <f t="shared" si="1"/>
        <v>3/31/2018</v>
      </c>
      <c r="C50" s="236">
        <f>'[2]Boeckh (R)'!$E86</f>
        <v>2380.2379659375001</v>
      </c>
      <c r="D50" s="121">
        <f t="shared" si="4"/>
        <v>2391.6604937560332</v>
      </c>
      <c r="E50" s="121">
        <f t="shared" si="3"/>
        <v>2394.7344655406423</v>
      </c>
      <c r="F50" s="121">
        <f t="shared" si="6"/>
        <v>2386.4115164849572</v>
      </c>
      <c r="G50" s="121">
        <f t="shared" si="5"/>
        <v>2386.1434988579463</v>
      </c>
      <c r="H50" s="121">
        <f t="shared" si="8"/>
        <v>2384.8714210303369</v>
      </c>
      <c r="I50" s="121">
        <f t="shared" si="7"/>
        <v>2384.2767692849488</v>
      </c>
      <c r="J50" s="121">
        <f t="shared" si="10"/>
        <v>2389.9564585394837</v>
      </c>
      <c r="K50" s="121">
        <f t="shared" si="9"/>
        <v>2389.3716876727221</v>
      </c>
      <c r="L50" s="121"/>
      <c r="M50" s="2"/>
      <c r="N50" s="12">
        <f t="shared" si="2"/>
        <v>2018.25</v>
      </c>
    </row>
    <row r="51" spans="1:14" x14ac:dyDescent="0.2">
      <c r="A51" s="12" t="str">
        <f t="shared" si="1"/>
        <v>6/30/2018</v>
      </c>
      <c r="C51" s="236">
        <f>'[2]Boeckh (R)'!$E87</f>
        <v>2404.0547853124999</v>
      </c>
      <c r="D51" s="121">
        <f t="shared" si="4"/>
        <v>2402.2940856526402</v>
      </c>
      <c r="E51" s="121">
        <f t="shared" si="3"/>
        <v>2406.2422318413733</v>
      </c>
      <c r="F51" s="121">
        <f t="shared" si="6"/>
        <v>2394.781929626879</v>
      </c>
      <c r="G51" s="121">
        <f t="shared" si="5"/>
        <v>2394.6855234005684</v>
      </c>
      <c r="H51" s="121">
        <f t="shared" si="8"/>
        <v>2392.7852751438477</v>
      </c>
      <c r="I51" s="121">
        <f t="shared" si="7"/>
        <v>2392.2306572549278</v>
      </c>
      <c r="J51" s="121">
        <f t="shared" si="10"/>
        <v>2402.8862017573701</v>
      </c>
      <c r="K51" s="121">
        <f t="shared" si="9"/>
        <v>2402.4048133333672</v>
      </c>
      <c r="L51" s="121"/>
      <c r="M51" s="2"/>
      <c r="N51" s="12">
        <f t="shared" si="2"/>
        <v>2018.5</v>
      </c>
    </row>
    <row r="52" spans="1:14" x14ac:dyDescent="0.2">
      <c r="A52" s="12" t="str">
        <f t="shared" si="1"/>
        <v>9/30/2018</v>
      </c>
      <c r="C52" s="236">
        <f>'[2]Boeckh (R)'!$E88</f>
        <v>2433.2116703124998</v>
      </c>
      <c r="D52" s="121">
        <f t="shared" si="4"/>
        <v>2412.9276775492326</v>
      </c>
      <c r="E52" s="121">
        <f t="shared" si="3"/>
        <v>2417.8052980875214</v>
      </c>
      <c r="F52" s="121">
        <f t="shared" si="6"/>
        <v>2403.1523427688007</v>
      </c>
      <c r="G52" s="121">
        <f t="shared" si="5"/>
        <v>2403.2581270694336</v>
      </c>
      <c r="H52" s="121">
        <f t="shared" si="8"/>
        <v>2400.6991292573584</v>
      </c>
      <c r="I52" s="121">
        <f t="shared" si="7"/>
        <v>2400.2110791972432</v>
      </c>
      <c r="J52" s="121">
        <f t="shared" si="10"/>
        <v>2415.815944975242</v>
      </c>
      <c r="K52" s="121">
        <f t="shared" si="9"/>
        <v>2415.5090298022624</v>
      </c>
      <c r="L52" s="121"/>
      <c r="M52" s="2"/>
      <c r="N52" s="12">
        <f t="shared" si="2"/>
        <v>2018.75</v>
      </c>
    </row>
    <row r="53" spans="1:14" x14ac:dyDescent="0.2">
      <c r="A53" s="12" t="str">
        <f>TEXT(N9,"m/d/yyyy")</f>
        <v>12/31/2018</v>
      </c>
      <c r="C53" s="236">
        <f>'[2]Boeckh (R)'!$E89</f>
        <v>2467.4966821874996</v>
      </c>
      <c r="D53" s="121">
        <f t="shared" si="4"/>
        <v>2423.5612694458396</v>
      </c>
      <c r="E53" s="121">
        <f t="shared" si="3"/>
        <v>2429.4239300199852</v>
      </c>
      <c r="F53" s="121">
        <f t="shared" si="6"/>
        <v>2411.5227559107225</v>
      </c>
      <c r="G53" s="121">
        <f t="shared" si="5"/>
        <v>2411.8614193330918</v>
      </c>
      <c r="H53" s="121">
        <f t="shared" si="8"/>
        <v>2408.6129833708692</v>
      </c>
      <c r="I53" s="121">
        <f t="shared" si="7"/>
        <v>2408.2181236285587</v>
      </c>
      <c r="J53" s="121">
        <f>TREND($C$42:$C$53,$N$42:$N$53,$N53,TRUE)</f>
        <v>2428.7456881931139</v>
      </c>
      <c r="K53" s="121">
        <f t="shared" si="9"/>
        <v>2428.6847248530817</v>
      </c>
      <c r="L53" s="171"/>
      <c r="M53" s="2"/>
      <c r="N53" s="12">
        <f t="shared" si="2"/>
        <v>2019</v>
      </c>
    </row>
    <row r="54" spans="1:14" x14ac:dyDescent="0.2">
      <c r="A54" s="122"/>
      <c r="B54" s="9"/>
      <c r="C54" s="196"/>
      <c r="D54" s="123"/>
      <c r="E54" s="123"/>
      <c r="F54" s="123"/>
      <c r="G54" s="123"/>
      <c r="H54" s="123"/>
      <c r="I54" s="123"/>
      <c r="J54" s="123"/>
      <c r="K54" s="123"/>
      <c r="M54" s="2"/>
    </row>
    <row r="55" spans="1:14" x14ac:dyDescent="0.2">
      <c r="A55" s="50"/>
      <c r="B55" s="110"/>
      <c r="C55" s="50"/>
      <c r="D55" s="50"/>
      <c r="E55" s="50"/>
      <c r="F55" s="50"/>
      <c r="G55" s="50"/>
      <c r="H55" s="50"/>
      <c r="I55" s="104"/>
      <c r="J55" s="50"/>
      <c r="K55" s="50"/>
      <c r="L55" s="50"/>
      <c r="M55" s="2"/>
    </row>
    <row r="56" spans="1:14" x14ac:dyDescent="0.2">
      <c r="A56" s="12" t="s">
        <v>264</v>
      </c>
      <c r="C56"/>
      <c r="D56" s="20">
        <f>(D53-D49)/D53</f>
        <v>1.7550357864946589E-2</v>
      </c>
      <c r="E56" s="20">
        <f>LOGEST($C$14:$C$53,$N$14:$N$53,TRUE,TRUE)-1</f>
        <v>1.936078082272763E-2</v>
      </c>
      <c r="F56" s="20">
        <f>(F53-F49)/F53</f>
        <v>1.3884029286312055E-2</v>
      </c>
      <c r="G56" s="20">
        <f>LOGEST($C$34:$C$53,$N$34:$N$53,TRUE,TRUE)-1</f>
        <v>1.4396456546075242E-2</v>
      </c>
      <c r="H56" s="20">
        <f>(H53-H49)/H53</f>
        <v>1.3142591471769388E-2</v>
      </c>
      <c r="I56" s="20">
        <f>LOGEST($C$38:$C$53,$N$38:$N$53,TRUE,TRUE)-1</f>
        <v>1.3410821464948874E-2</v>
      </c>
      <c r="J56" s="20">
        <f>(J53-J49)/J53</f>
        <v>2.1294519686817774E-2</v>
      </c>
      <c r="K56" s="20">
        <f>LOGEST($C$42:$C$53,$N$42:$N$53,TRUE,TRUE)-1</f>
        <v>2.1997666153448447E-2</v>
      </c>
      <c r="L56" s="20"/>
      <c r="M56" s="2"/>
    </row>
    <row r="57" spans="1:14" x14ac:dyDescent="0.2">
      <c r="A57" s="124" t="s">
        <v>265</v>
      </c>
      <c r="B57" s="116"/>
      <c r="C57" s="106"/>
      <c r="D57" s="107">
        <f>INDEX(LINEST($C$14:$C$53,$N$14:$N$53,TRUE,TRUE),3,1)</f>
        <v>0.94205358593562594</v>
      </c>
      <c r="E57" s="107">
        <f>INDEX(LOGEST($C$14:$C$53,$N$14:$N$53,TRUE,TRUE),3,1)</f>
        <v>0.9436453302085237</v>
      </c>
      <c r="F57" s="107">
        <f>INDEX(LINEST($C$34:$C$53,$N$34:$N$53,TRUE,TRUE),3,1)</f>
        <v>0.76655884832879351</v>
      </c>
      <c r="G57" s="107">
        <f>INDEX(LOGEST($C$34:$C$53,$N$34:$N$53,TRUE,TRUE),3,1)</f>
        <v>0.77007910435502702</v>
      </c>
      <c r="H57" s="107">
        <f>INDEX(LINEST($C$38:$C$53,$N$38:$N$53,TRUE,TRUE),3,1)</f>
        <v>0.62037046340609059</v>
      </c>
      <c r="I57" s="107">
        <f>INDEX(LOGEST($C$38:$C$53,$N$38:$N$53,TRUE,TRUE),3,1)</f>
        <v>0.62210477614455029</v>
      </c>
      <c r="J57" s="107">
        <f>INDEX(LINEST($C$42:$C$53,$N$42:$N$53,TRUE,TRUE),3,1)</f>
        <v>0.77996554627861869</v>
      </c>
      <c r="K57" s="107">
        <f>INDEX(LOGEST($C$42:$C$53,$N$42:$N$53,TRUE,TRUE),3,1)</f>
        <v>0.78227758434179284</v>
      </c>
      <c r="L57" s="107"/>
      <c r="M57" s="2"/>
    </row>
    <row r="58" spans="1:14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4" ht="12" thickTop="1" x14ac:dyDescent="0.2">
      <c r="A59"/>
      <c r="B59"/>
      <c r="C59"/>
      <c r="D59"/>
      <c r="E59"/>
      <c r="F59"/>
      <c r="G59" s="50"/>
      <c r="H59"/>
      <c r="I59" s="50"/>
      <c r="M59" s="2"/>
    </row>
    <row r="60" spans="1:14" x14ac:dyDescent="0.2">
      <c r="A60" t="s">
        <v>18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22" t="str">
        <f>C12&amp;" = Average Index for Corpus Christi and Houston"</f>
        <v>(2) = Average Index for Corpus Christi and Houston</v>
      </c>
      <c r="C61"/>
      <c r="D61"/>
      <c r="E61"/>
      <c r="F61"/>
      <c r="H61"/>
      <c r="J61"/>
      <c r="K61"/>
      <c r="L61"/>
      <c r="M61" s="2"/>
    </row>
    <row r="62" spans="1:14" x14ac:dyDescent="0.2">
      <c r="A62" s="104"/>
      <c r="B62" s="22" t="str">
        <f>D12&amp;" - "&amp;K12&amp;" = "&amp;C12&amp;" fitted to linear and exponential distributions"</f>
        <v>(3) - (10) = (2) fitted to linear and exponential distributions</v>
      </c>
      <c r="C62" s="104"/>
      <c r="D62" s="104"/>
      <c r="E62" s="104"/>
      <c r="F62" s="104"/>
      <c r="G62" s="104"/>
      <c r="H62" s="104"/>
      <c r="I62" s="50"/>
      <c r="M62" s="2"/>
    </row>
    <row r="63" spans="1:14" x14ac:dyDescent="0.2">
      <c r="A63" s="104"/>
      <c r="B63" s="22"/>
      <c r="C63" s="104"/>
      <c r="D63" s="104"/>
      <c r="E63" s="104"/>
      <c r="F63" s="104"/>
      <c r="G63" s="104"/>
      <c r="H63" s="104"/>
      <c r="I63" s="50"/>
      <c r="M63" s="2"/>
    </row>
    <row r="64" spans="1:14" x14ac:dyDescent="0.2">
      <c r="A64" s="104"/>
      <c r="B64" s="22"/>
      <c r="C64" s="104"/>
      <c r="D64" s="104"/>
      <c r="E64" s="104"/>
      <c r="F64" s="104"/>
      <c r="G64" s="104"/>
      <c r="H64" s="104"/>
      <c r="I64" s="50"/>
      <c r="M64" s="2"/>
    </row>
    <row r="65" spans="1:13" x14ac:dyDescent="0.2">
      <c r="A65" s="104"/>
      <c r="B65" s="22"/>
      <c r="C65" s="104"/>
      <c r="D65" s="104"/>
      <c r="E65" s="104"/>
      <c r="F65" s="104"/>
      <c r="G65" s="104"/>
      <c r="H65" s="104"/>
      <c r="I65" s="50"/>
      <c r="M65" s="2"/>
    </row>
    <row r="66" spans="1:13" x14ac:dyDescent="0.2">
      <c r="A66" s="104"/>
      <c r="B66" s="22"/>
      <c r="C66" s="104"/>
      <c r="D66" s="104"/>
      <c r="E66" s="104"/>
      <c r="F66" s="104"/>
      <c r="G66" s="104"/>
      <c r="H66" s="104"/>
      <c r="I66" s="50"/>
      <c r="M66" s="2"/>
    </row>
    <row r="67" spans="1:13" x14ac:dyDescent="0.2">
      <c r="A67" s="104"/>
      <c r="B67" s="22"/>
      <c r="C67" s="104"/>
      <c r="D67" s="104"/>
      <c r="E67" s="104"/>
      <c r="F67" s="104"/>
      <c r="G67" s="104"/>
      <c r="H67" s="104"/>
      <c r="I67" s="50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N70"/>
  <sheetViews>
    <sheetView topLeftCell="A24" zoomScaleNormal="100" workbookViewId="0">
      <selection activeCell="H69" sqref="H69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68</v>
      </c>
      <c r="M1" s="1"/>
    </row>
    <row r="2" spans="1:14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60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12" t="s">
        <v>240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12" t="s">
        <v>267</v>
      </c>
      <c r="C5"/>
      <c r="D5"/>
      <c r="E5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4" ht="12" thickTop="1" x14ac:dyDescent="0.2">
      <c r="A8"/>
      <c r="B8"/>
      <c r="C8"/>
      <c r="D8"/>
      <c r="E8"/>
      <c r="F8"/>
      <c r="G8"/>
      <c r="H8"/>
      <c r="I8" s="50"/>
      <c r="J8"/>
      <c r="K8" s="50"/>
      <c r="L8" s="50"/>
      <c r="M8" s="2"/>
      <c r="N8" t="s">
        <v>242</v>
      </c>
    </row>
    <row r="9" spans="1:14" x14ac:dyDescent="0.2">
      <c r="A9"/>
      <c r="B9"/>
      <c r="C9" s="22"/>
      <c r="D9" s="10" t="s">
        <v>257</v>
      </c>
      <c r="E9"/>
      <c r="F9" s="10"/>
      <c r="G9"/>
      <c r="H9"/>
      <c r="I9"/>
      <c r="J9"/>
      <c r="K9"/>
      <c r="L9"/>
      <c r="M9" s="2"/>
      <c r="N9" s="93">
        <v>43465</v>
      </c>
    </row>
    <row r="10" spans="1:14" x14ac:dyDescent="0.2">
      <c r="A10" t="s">
        <v>243</v>
      </c>
      <c r="B10"/>
      <c r="C10" t="s">
        <v>246</v>
      </c>
      <c r="D10" t="s">
        <v>258</v>
      </c>
      <c r="E10"/>
      <c r="F10" t="s">
        <v>259</v>
      </c>
      <c r="G10"/>
      <c r="H10" t="s">
        <v>260</v>
      </c>
      <c r="I10"/>
      <c r="J10" t="s">
        <v>261</v>
      </c>
      <c r="K10"/>
      <c r="L10"/>
      <c r="M10" s="2"/>
    </row>
    <row r="11" spans="1:14" x14ac:dyDescent="0.2">
      <c r="A11" s="9" t="s">
        <v>35</v>
      </c>
      <c r="B11" s="9"/>
      <c r="C11" s="9" t="s">
        <v>249</v>
      </c>
      <c r="D11" s="9" t="s">
        <v>262</v>
      </c>
      <c r="E11" s="9" t="s">
        <v>263</v>
      </c>
      <c r="F11" s="9" t="s">
        <v>262</v>
      </c>
      <c r="G11" s="9" t="s">
        <v>263</v>
      </c>
      <c r="H11" s="9" t="s">
        <v>262</v>
      </c>
      <c r="I11" s="9" t="s">
        <v>263</v>
      </c>
      <c r="J11" s="9" t="s">
        <v>262</v>
      </c>
      <c r="K11" s="9" t="s">
        <v>263</v>
      </c>
      <c r="L11" s="50"/>
      <c r="M11" s="2"/>
      <c r="N11" s="9" t="s">
        <v>239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12" t="str">
        <f t="shared" ref="A14:A53" si="1">TEXT(DATE(YEAR(A15+1),MONTH(A15+1)-3,1)-1,"m/d/yyyy")</f>
        <v>9/30/2008</v>
      </c>
      <c r="B14" s="25"/>
      <c r="C14" s="195">
        <f>ROUND([2]CPI!H88,2)</f>
        <v>181.04</v>
      </c>
      <c r="D14" s="121">
        <f>TREND($C$14:$C$55,$N$14:$N$55,$N14,TRUE)</f>
        <v>176.85643410852708</v>
      </c>
      <c r="E14" s="121">
        <f>GROWTH($C$14:$C$55,$N$14:$N$55,$N14,TRUE)</f>
        <v>177.02910879813285</v>
      </c>
      <c r="F14" s="121"/>
      <c r="G14" s="121"/>
      <c r="H14" s="36"/>
      <c r="I14"/>
      <c r="J14" s="36"/>
      <c r="K14"/>
      <c r="L14"/>
      <c r="M14" s="2"/>
      <c r="N14" s="12">
        <f t="shared" ref="N14:N55" si="2">YEAR(A14)+MONTH(A14)/12</f>
        <v>2008.75</v>
      </c>
    </row>
    <row r="15" spans="1:14" x14ac:dyDescent="0.2">
      <c r="A15" s="12" t="str">
        <f t="shared" si="1"/>
        <v>12/31/2008</v>
      </c>
      <c r="B15" s="104"/>
      <c r="C15" s="195">
        <f>ROUND([2]CPI!H89,2)</f>
        <v>181.06</v>
      </c>
      <c r="D15" s="121">
        <f t="shared" ref="D15:D55" si="3">TREND($C$14:$C$55,$N$14:$N$55,$N15,TRUE)</f>
        <v>177.3249820381925</v>
      </c>
      <c r="E15" s="121">
        <f t="shared" ref="E15:E55" si="4">GROWTH($C$14:$C$55,$N$14:$N$55,$N15,TRUE)</f>
        <v>177.47371050305256</v>
      </c>
      <c r="F15" s="104"/>
      <c r="G15" s="104"/>
      <c r="H15" s="104"/>
      <c r="I15" s="104"/>
      <c r="J15" s="104"/>
      <c r="K15"/>
      <c r="L15"/>
      <c r="M15" s="2"/>
      <c r="N15" s="12">
        <f t="shared" si="2"/>
        <v>2009</v>
      </c>
    </row>
    <row r="16" spans="1:14" x14ac:dyDescent="0.2">
      <c r="A16" s="12" t="str">
        <f t="shared" si="1"/>
        <v>3/31/2009</v>
      </c>
      <c r="B16" s="25"/>
      <c r="C16" s="195">
        <f>ROUND([2]CPI!H90,2)</f>
        <v>180.55</v>
      </c>
      <c r="D16" s="121">
        <f t="shared" si="3"/>
        <v>177.79352996785792</v>
      </c>
      <c r="E16" s="121">
        <f t="shared" si="4"/>
        <v>177.91942880781986</v>
      </c>
      <c r="F16" s="121"/>
      <c r="G16" s="121"/>
      <c r="H16" s="36"/>
      <c r="I16"/>
      <c r="J16" s="36"/>
      <c r="K16"/>
      <c r="L16"/>
      <c r="M16" s="2"/>
      <c r="N16" s="12">
        <f t="shared" si="2"/>
        <v>2009.25</v>
      </c>
    </row>
    <row r="17" spans="1:14" x14ac:dyDescent="0.2">
      <c r="A17" s="12" t="str">
        <f t="shared" si="1"/>
        <v>6/30/2009</v>
      </c>
      <c r="B17" s="25"/>
      <c r="C17" s="195">
        <f>ROUND([2]CPI!H91,2)</f>
        <v>180.07</v>
      </c>
      <c r="D17" s="121">
        <f t="shared" si="3"/>
        <v>178.26207789752334</v>
      </c>
      <c r="E17" s="121">
        <f t="shared" si="4"/>
        <v>178.36626651673305</v>
      </c>
      <c r="F17" s="121"/>
      <c r="G17" s="121"/>
      <c r="H17" s="36"/>
      <c r="I17"/>
      <c r="J17" s="36"/>
      <c r="K17"/>
      <c r="L17"/>
      <c r="M17" s="2"/>
      <c r="N17" s="12">
        <f t="shared" si="2"/>
        <v>2009.5</v>
      </c>
    </row>
    <row r="18" spans="1:14" x14ac:dyDescent="0.2">
      <c r="A18" s="12" t="str">
        <f t="shared" si="1"/>
        <v>9/30/2009</v>
      </c>
      <c r="B18" s="25"/>
      <c r="C18" s="195">
        <f>ROUND([2]CPI!H92,2)</f>
        <v>179.3</v>
      </c>
      <c r="D18" s="121">
        <f t="shared" si="3"/>
        <v>178.73062582718876</v>
      </c>
      <c r="E18" s="121">
        <f t="shared" si="4"/>
        <v>178.81422644113127</v>
      </c>
      <c r="F18" s="121"/>
      <c r="G18" s="121"/>
      <c r="H18" s="36"/>
      <c r="I18"/>
      <c r="J18" s="36"/>
      <c r="K18"/>
      <c r="L18"/>
      <c r="M18" s="2"/>
      <c r="N18" s="12">
        <f t="shared" si="2"/>
        <v>2009.75</v>
      </c>
    </row>
    <row r="19" spans="1:14" x14ac:dyDescent="0.2">
      <c r="A19" s="12" t="str">
        <f t="shared" si="1"/>
        <v>12/31/2009</v>
      </c>
      <c r="B19" s="25"/>
      <c r="C19" s="195">
        <f>ROUND([2]CPI!H93,2)</f>
        <v>178.8</v>
      </c>
      <c r="D19" s="121">
        <f t="shared" si="3"/>
        <v>179.19917375685418</v>
      </c>
      <c r="E19" s="121">
        <f t="shared" si="4"/>
        <v>179.26331139941507</v>
      </c>
      <c r="F19" s="121"/>
      <c r="G19" s="121"/>
      <c r="H19" s="36"/>
      <c r="I19"/>
      <c r="J19" s="36"/>
      <c r="K19"/>
      <c r="L19"/>
      <c r="M19" s="2"/>
      <c r="N19" s="12">
        <f t="shared" si="2"/>
        <v>2010</v>
      </c>
    </row>
    <row r="20" spans="1:14" x14ac:dyDescent="0.2">
      <c r="A20" s="12" t="str">
        <f t="shared" si="1"/>
        <v>3/31/2010</v>
      </c>
      <c r="B20" s="25"/>
      <c r="C20" s="195">
        <f>ROUND([2]CPI!H94,2)</f>
        <v>178.46</v>
      </c>
      <c r="D20" s="121">
        <f>TREND($C$14:$C$55,$N$14:$N$55,$N20,TRUE)</f>
        <v>179.66772168651914</v>
      </c>
      <c r="E20" s="121">
        <f t="shared" si="4"/>
        <v>179.71352421706314</v>
      </c>
      <c r="F20" s="121"/>
      <c r="G20" s="121"/>
      <c r="H20" s="36"/>
      <c r="I20"/>
      <c r="J20" s="36"/>
      <c r="K20"/>
      <c r="L20"/>
      <c r="M20" s="2"/>
      <c r="N20" s="12">
        <f t="shared" si="2"/>
        <v>2010.25</v>
      </c>
    </row>
    <row r="21" spans="1:14" x14ac:dyDescent="0.2">
      <c r="A21" s="12" t="str">
        <f t="shared" si="1"/>
        <v>6/30/2010</v>
      </c>
      <c r="B21" s="25"/>
      <c r="C21" s="195">
        <f>ROUND([2]CPI!H95,2)</f>
        <v>178.56</v>
      </c>
      <c r="D21" s="121">
        <f t="shared" si="3"/>
        <v>180.13626961618456</v>
      </c>
      <c r="E21" s="121">
        <f t="shared" si="4"/>
        <v>180.1648677266503</v>
      </c>
      <c r="F21" s="121"/>
      <c r="G21" s="121"/>
      <c r="H21" s="36"/>
      <c r="I21"/>
      <c r="J21" s="36"/>
      <c r="K21"/>
      <c r="L21"/>
      <c r="M21" s="2"/>
      <c r="N21" s="12">
        <f t="shared" si="2"/>
        <v>2010.5</v>
      </c>
    </row>
    <row r="22" spans="1:14" x14ac:dyDescent="0.2">
      <c r="A22" s="12" t="str">
        <f t="shared" si="1"/>
        <v>9/30/2010</v>
      </c>
      <c r="B22" s="25"/>
      <c r="C22" s="195">
        <f>ROUND([2]CPI!H96,2)</f>
        <v>178.59</v>
      </c>
      <c r="D22" s="121">
        <f t="shared" si="3"/>
        <v>180.60481754584998</v>
      </c>
      <c r="E22" s="121">
        <f t="shared" si="4"/>
        <v>180.61734476786529</v>
      </c>
      <c r="F22" s="121"/>
      <c r="G22" s="121"/>
      <c r="H22" s="36"/>
      <c r="I22"/>
      <c r="J22" s="36"/>
      <c r="K22"/>
      <c r="L22"/>
      <c r="M22" s="2"/>
      <c r="N22" s="12">
        <f t="shared" si="2"/>
        <v>2010.75</v>
      </c>
    </row>
    <row r="23" spans="1:14" x14ac:dyDescent="0.2">
      <c r="A23" s="12" t="str">
        <f t="shared" si="1"/>
        <v>12/31/2010</v>
      </c>
      <c r="B23" s="51"/>
      <c r="C23" s="195">
        <f>ROUND([2]CPI!H97,2)</f>
        <v>178.72</v>
      </c>
      <c r="D23" s="121">
        <f t="shared" si="3"/>
        <v>181.0733654755154</v>
      </c>
      <c r="E23" s="121">
        <f t="shared" si="4"/>
        <v>181.07095818752791</v>
      </c>
      <c r="F23" s="121"/>
      <c r="G23" s="121"/>
      <c r="H23" s="36"/>
      <c r="I23"/>
      <c r="J23" s="36"/>
      <c r="K23"/>
      <c r="L23"/>
      <c r="M23" s="2"/>
      <c r="N23" s="12">
        <f t="shared" si="2"/>
        <v>2011</v>
      </c>
    </row>
    <row r="24" spans="1:14" x14ac:dyDescent="0.2">
      <c r="A24" s="12" t="str">
        <f t="shared" si="1"/>
        <v>3/31/2011</v>
      </c>
      <c r="B24"/>
      <c r="C24" s="195">
        <f>ROUND([2]CPI!H98,2)</f>
        <v>178.97</v>
      </c>
      <c r="D24" s="121">
        <f t="shared" si="3"/>
        <v>181.54191340518082</v>
      </c>
      <c r="E24" s="121">
        <f t="shared" si="4"/>
        <v>181.52571083960964</v>
      </c>
      <c r="F24" s="121"/>
      <c r="G24" s="121"/>
      <c r="H24"/>
      <c r="I24"/>
      <c r="J24"/>
      <c r="K24"/>
      <c r="L24"/>
      <c r="M24" s="2"/>
      <c r="N24" s="12">
        <f t="shared" si="2"/>
        <v>2011.25</v>
      </c>
    </row>
    <row r="25" spans="1:14" x14ac:dyDescent="0.2">
      <c r="A25" s="12" t="str">
        <f t="shared" si="1"/>
        <v>6/30/2011</v>
      </c>
      <c r="B25"/>
      <c r="C25" s="195">
        <f>ROUND([2]CPI!H99,2)</f>
        <v>179.61</v>
      </c>
      <c r="D25" s="121">
        <f t="shared" si="3"/>
        <v>182.01046133484624</v>
      </c>
      <c r="E25" s="121">
        <f t="shared" si="4"/>
        <v>181.98160558524771</v>
      </c>
      <c r="F25" s="121"/>
      <c r="G25" s="121"/>
      <c r="H25"/>
      <c r="I25"/>
      <c r="J25"/>
      <c r="K25"/>
      <c r="L25"/>
      <c r="M25" s="2"/>
      <c r="N25" s="12">
        <f t="shared" si="2"/>
        <v>2011.5</v>
      </c>
    </row>
    <row r="26" spans="1:14" x14ac:dyDescent="0.2">
      <c r="A26" s="12" t="str">
        <f t="shared" si="1"/>
        <v>9/30/2011</v>
      </c>
      <c r="B26"/>
      <c r="C26" s="195">
        <f>ROUND([2]CPI!H100,2)</f>
        <v>180.52</v>
      </c>
      <c r="D26" s="121">
        <f t="shared" si="3"/>
        <v>182.47900926451121</v>
      </c>
      <c r="E26" s="121">
        <f t="shared" si="4"/>
        <v>182.43864529276547</v>
      </c>
      <c r="F26" s="121"/>
      <c r="G26" s="121"/>
      <c r="H26"/>
      <c r="I26"/>
      <c r="J26"/>
      <c r="K26"/>
      <c r="L26"/>
      <c r="M26" s="2"/>
      <c r="N26" s="12">
        <f t="shared" si="2"/>
        <v>2011.75</v>
      </c>
    </row>
    <row r="27" spans="1:14" x14ac:dyDescent="0.2">
      <c r="A27" s="12" t="str">
        <f t="shared" si="1"/>
        <v>12/31/2011</v>
      </c>
      <c r="B27"/>
      <c r="C27" s="195">
        <f>ROUND([2]CPI!H101,2)</f>
        <v>181.55</v>
      </c>
      <c r="D27" s="121">
        <f t="shared" si="3"/>
        <v>182.94755719417662</v>
      </c>
      <c r="E27" s="121">
        <f t="shared" si="4"/>
        <v>182.89683283769006</v>
      </c>
      <c r="F27" s="121"/>
      <c r="G27" s="121"/>
      <c r="H27"/>
      <c r="I27"/>
      <c r="J27"/>
      <c r="K27"/>
      <c r="L27"/>
      <c r="M27" s="2"/>
      <c r="N27" s="12">
        <f t="shared" si="2"/>
        <v>2012</v>
      </c>
    </row>
    <row r="28" spans="1:14" x14ac:dyDescent="0.2">
      <c r="A28" s="12" t="str">
        <f t="shared" si="1"/>
        <v>3/31/2012</v>
      </c>
      <c r="B28"/>
      <c r="C28" s="195">
        <f>ROUND([2]CPI!H102,2)</f>
        <v>182.78</v>
      </c>
      <c r="D28" s="121">
        <f t="shared" si="3"/>
        <v>183.41610512384204</v>
      </c>
      <c r="E28" s="121">
        <f t="shared" si="4"/>
        <v>183.35617110277039</v>
      </c>
      <c r="F28" s="121"/>
      <c r="G28" s="121"/>
      <c r="H28"/>
      <c r="I28"/>
      <c r="J28"/>
      <c r="K28"/>
      <c r="L28"/>
      <c r="M28" s="2"/>
      <c r="N28" s="12">
        <f t="shared" si="2"/>
        <v>2012.25</v>
      </c>
    </row>
    <row r="29" spans="1:14" x14ac:dyDescent="0.2">
      <c r="A29" s="12" t="str">
        <f t="shared" si="1"/>
        <v>6/30/2012</v>
      </c>
      <c r="B29"/>
      <c r="C29" s="195">
        <f>ROUND([2]CPI!H103,2)</f>
        <v>183.87</v>
      </c>
      <c r="D29" s="121">
        <f t="shared" si="3"/>
        <v>183.88465305350746</v>
      </c>
      <c r="E29" s="121">
        <f>GROWTH($C$14:$C$55,$N$14:$N$55,$N29,TRUE)</f>
        <v>183.81666297799461</v>
      </c>
      <c r="F29" s="121"/>
      <c r="G29" s="121"/>
      <c r="H29"/>
      <c r="I29"/>
      <c r="J29"/>
      <c r="K29"/>
      <c r="L29"/>
      <c r="M29" s="2"/>
      <c r="N29" s="12">
        <f t="shared" si="2"/>
        <v>2012.5</v>
      </c>
    </row>
    <row r="30" spans="1:14" x14ac:dyDescent="0.2">
      <c r="A30" s="12" t="str">
        <f t="shared" si="1"/>
        <v>9/30/2012</v>
      </c>
      <c r="B30"/>
      <c r="C30" s="195">
        <f>ROUND([2]CPI!H104,2)</f>
        <v>184.57</v>
      </c>
      <c r="D30" s="121">
        <f t="shared" si="3"/>
        <v>184.35320098317288</v>
      </c>
      <c r="E30" s="121">
        <f t="shared" si="4"/>
        <v>184.27831136061096</v>
      </c>
      <c r="F30" s="121"/>
      <c r="G30" s="121"/>
      <c r="H30"/>
      <c r="I30"/>
      <c r="J30"/>
      <c r="K30"/>
      <c r="L30"/>
      <c r="M30" s="2"/>
      <c r="N30" s="12">
        <f t="shared" si="2"/>
        <v>2012.75</v>
      </c>
    </row>
    <row r="31" spans="1:14" x14ac:dyDescent="0.2">
      <c r="A31" s="12" t="str">
        <f t="shared" si="1"/>
        <v>12/31/2012</v>
      </c>
      <c r="B31" s="116"/>
      <c r="C31" s="195">
        <f>ROUND([2]CPI!H105,2)</f>
        <v>185.03</v>
      </c>
      <c r="D31" s="121">
        <f t="shared" si="3"/>
        <v>184.82174891283785</v>
      </c>
      <c r="E31" s="121">
        <f t="shared" si="4"/>
        <v>184.74111915514194</v>
      </c>
      <c r="F31" s="121"/>
      <c r="G31" s="121"/>
      <c r="H31" s="29"/>
      <c r="I31" s="108"/>
      <c r="J31" s="29"/>
      <c r="K31" s="108"/>
      <c r="L31" s="108"/>
      <c r="M31" s="2"/>
      <c r="N31" s="12">
        <f t="shared" si="2"/>
        <v>2013</v>
      </c>
    </row>
    <row r="32" spans="1:14" x14ac:dyDescent="0.2">
      <c r="A32" s="12" t="str">
        <f t="shared" si="1"/>
        <v>3/31/2013</v>
      </c>
      <c r="B32" s="116"/>
      <c r="C32" s="195">
        <f>ROUND([2]CPI!H106,2)</f>
        <v>185.38</v>
      </c>
      <c r="D32" s="121">
        <f t="shared" si="3"/>
        <v>185.29029684250327</v>
      </c>
      <c r="E32" s="121">
        <f t="shared" si="4"/>
        <v>185.20508927340546</v>
      </c>
      <c r="F32" s="121"/>
      <c r="G32" s="121"/>
      <c r="H32" s="29"/>
      <c r="I32" s="108"/>
      <c r="J32" s="29"/>
      <c r="K32" s="108"/>
      <c r="L32" s="108"/>
      <c r="M32" s="2"/>
      <c r="N32" s="12">
        <f t="shared" si="2"/>
        <v>2013.25</v>
      </c>
    </row>
    <row r="33" spans="1:14" x14ac:dyDescent="0.2">
      <c r="A33" s="12" t="str">
        <f t="shared" si="1"/>
        <v>6/30/2013</v>
      </c>
      <c r="B33" s="51"/>
      <c r="C33" s="195">
        <f>ROUND([2]CPI!H107,2)</f>
        <v>185.51</v>
      </c>
      <c r="D33" s="121">
        <f t="shared" si="3"/>
        <v>185.75884477216869</v>
      </c>
      <c r="E33" s="121">
        <f t="shared" si="4"/>
        <v>185.67022463453219</v>
      </c>
      <c r="F33" s="121"/>
      <c r="G33" s="121"/>
      <c r="H33" s="29"/>
      <c r="I33" s="108"/>
      <c r="J33" s="29"/>
      <c r="K33" s="108"/>
      <c r="L33" s="108"/>
      <c r="M33" s="2"/>
      <c r="N33" s="12">
        <f t="shared" si="2"/>
        <v>2013.5</v>
      </c>
    </row>
    <row r="34" spans="1:14" x14ac:dyDescent="0.2">
      <c r="A34" s="12" t="str">
        <f t="shared" si="1"/>
        <v>9/30/2013</v>
      </c>
      <c r="B34" s="51"/>
      <c r="C34" s="195">
        <f>ROUND([2]CPI!H108,2)</f>
        <v>185.82</v>
      </c>
      <c r="D34" s="121">
        <f t="shared" si="3"/>
        <v>186.22739270183411</v>
      </c>
      <c r="E34" s="121">
        <f t="shared" si="4"/>
        <v>186.13652816498418</v>
      </c>
      <c r="F34" s="121"/>
      <c r="G34" s="121"/>
      <c r="H34" s="29"/>
      <c r="I34" s="108"/>
      <c r="J34" s="29"/>
      <c r="K34" s="108"/>
      <c r="L34" s="108"/>
      <c r="M34" s="2"/>
      <c r="N34" s="12">
        <f t="shared" si="2"/>
        <v>2013.75</v>
      </c>
    </row>
    <row r="35" spans="1:14" x14ac:dyDescent="0.2">
      <c r="A35" s="12" t="str">
        <f t="shared" si="1"/>
        <v>12/31/2013</v>
      </c>
      <c r="B35" s="116"/>
      <c r="C35" s="195">
        <f>ROUND([2]CPI!H109,2)</f>
        <v>186.03</v>
      </c>
      <c r="D35" s="121">
        <f t="shared" si="3"/>
        <v>186.69594063149952</v>
      </c>
      <c r="E35" s="121">
        <f>GROWTH($C$14:$C$55,$N$14:$N$55,$N35,TRUE)</f>
        <v>186.60400279857248</v>
      </c>
      <c r="F35" s="121"/>
      <c r="G35" s="121"/>
      <c r="H35" s="36"/>
      <c r="I35" s="108"/>
      <c r="J35" s="36"/>
      <c r="K35" s="108"/>
      <c r="L35" s="108"/>
      <c r="M35" s="2"/>
      <c r="N35" s="12">
        <f t="shared" si="2"/>
        <v>2014</v>
      </c>
    </row>
    <row r="36" spans="1:14" x14ac:dyDescent="0.2">
      <c r="A36" s="12" t="str">
        <f t="shared" si="1"/>
        <v>3/31/2014</v>
      </c>
      <c r="B36" s="22"/>
      <c r="C36" s="195">
        <f>ROUND([2]CPI!H110,2)</f>
        <v>186.43</v>
      </c>
      <c r="D36" s="121">
        <f t="shared" si="3"/>
        <v>187.16448856116494</v>
      </c>
      <c r="E36" s="121">
        <f t="shared" si="4"/>
        <v>187.07265147647831</v>
      </c>
      <c r="F36" s="121">
        <f>TREND($C$36:$C$55,$N$36:$N$55,$N36,TRUE)</f>
        <v>186.99628571428639</v>
      </c>
      <c r="G36" s="121">
        <f>GROWTH($C$36:$C$55,$N$36:$N$55,$N36,TRUE)</f>
        <v>187.02548144463805</v>
      </c>
      <c r="H36"/>
      <c r="I36"/>
      <c r="J36"/>
      <c r="K36"/>
      <c r="L36"/>
      <c r="M36" s="2"/>
      <c r="N36" s="12">
        <f t="shared" si="2"/>
        <v>2014.25</v>
      </c>
    </row>
    <row r="37" spans="1:14" x14ac:dyDescent="0.2">
      <c r="A37" s="12" t="str">
        <f t="shared" si="1"/>
        <v>6/30/2014</v>
      </c>
      <c r="B37" s="22"/>
      <c r="C37" s="195">
        <f>ROUND([2]CPI!H111,2)</f>
        <v>186.87</v>
      </c>
      <c r="D37" s="121">
        <f t="shared" si="3"/>
        <v>187.63303649082991</v>
      </c>
      <c r="E37" s="121">
        <f t="shared" si="4"/>
        <v>187.54247714726748</v>
      </c>
      <c r="F37" s="121">
        <f t="shared" ref="F37:F54" si="5">TREND($C$36:$C$55,$N$36:$N$55,$N37,TRUE)</f>
        <v>187.50509774436159</v>
      </c>
      <c r="G37" s="121">
        <f t="shared" ref="G37:G54" si="6">GROWTH($C$36:$C$55,$N$36:$N$55,$N37,TRUE)</f>
        <v>187.52312227078508</v>
      </c>
      <c r="H37"/>
      <c r="J37"/>
      <c r="M37" s="2"/>
      <c r="N37" s="12">
        <f t="shared" si="2"/>
        <v>2014.5</v>
      </c>
    </row>
    <row r="38" spans="1:14" x14ac:dyDescent="0.2">
      <c r="A38" s="12" t="str">
        <f t="shared" si="1"/>
        <v>9/30/2014</v>
      </c>
      <c r="B38" s="22"/>
      <c r="C38" s="195">
        <f>ROUND([2]CPI!H112,2)</f>
        <v>187.59</v>
      </c>
      <c r="D38" s="121">
        <f t="shared" si="3"/>
        <v>188.10158442049533</v>
      </c>
      <c r="E38" s="121">
        <f t="shared" si="4"/>
        <v>188.01348276691175</v>
      </c>
      <c r="F38" s="121">
        <f t="shared" si="5"/>
        <v>188.0139097744368</v>
      </c>
      <c r="G38" s="121">
        <f t="shared" si="6"/>
        <v>188.02208722875594</v>
      </c>
      <c r="H38" s="121"/>
      <c r="I38" s="121"/>
      <c r="J38" s="108"/>
      <c r="K38" s="108"/>
      <c r="L38" s="108"/>
      <c r="M38" s="2"/>
      <c r="N38" s="12">
        <f t="shared" si="2"/>
        <v>2014.75</v>
      </c>
    </row>
    <row r="39" spans="1:14" x14ac:dyDescent="0.2">
      <c r="A39" s="12" t="str">
        <f t="shared" si="1"/>
        <v>12/31/2014</v>
      </c>
      <c r="B39" s="22"/>
      <c r="C39" s="195">
        <f>ROUND([2]CPI!H113,2)</f>
        <v>188.62</v>
      </c>
      <c r="D39" s="121">
        <f t="shared" si="3"/>
        <v>188.57013235016075</v>
      </c>
      <c r="E39" s="121">
        <f t="shared" si="4"/>
        <v>188.48567129880672</v>
      </c>
      <c r="F39" s="121">
        <f t="shared" si="5"/>
        <v>188.522721804512</v>
      </c>
      <c r="G39" s="121">
        <f t="shared" si="6"/>
        <v>188.52237984182483</v>
      </c>
      <c r="H39" s="121"/>
      <c r="I39" s="121"/>
      <c r="J39" s="108"/>
      <c r="K39" s="108"/>
      <c r="L39" s="108"/>
      <c r="M39" s="2"/>
      <c r="N39" s="12">
        <f t="shared" si="2"/>
        <v>2015</v>
      </c>
    </row>
    <row r="40" spans="1:14" x14ac:dyDescent="0.2">
      <c r="A40" s="12" t="str">
        <f t="shared" si="1"/>
        <v>3/31/2015</v>
      </c>
      <c r="B40" s="22"/>
      <c r="C40" s="195">
        <f>ROUND([2]CPI!H114,2)</f>
        <v>189.46</v>
      </c>
      <c r="D40" s="121">
        <f t="shared" si="3"/>
        <v>189.03868027982617</v>
      </c>
      <c r="E40" s="121">
        <f t="shared" si="4"/>
        <v>188.95904571379032</v>
      </c>
      <c r="F40" s="121">
        <f t="shared" si="5"/>
        <v>189.03153383458721</v>
      </c>
      <c r="G40" s="121">
        <f t="shared" si="6"/>
        <v>189.02400364264076</v>
      </c>
      <c r="H40" s="121">
        <f>TREND($C$40:$C$55,$N$40:$N$55,$N40,TRUE)</f>
        <v>189.4883823529417</v>
      </c>
      <c r="I40" s="121">
        <f>GROWTH($C$40:$C$55,$N$40:$N$55,$N40,TRUE)</f>
        <v>189.5030244315455</v>
      </c>
      <c r="J40" s="108"/>
      <c r="K40" s="108"/>
      <c r="L40" s="108"/>
      <c r="M40" s="2"/>
      <c r="N40" s="12">
        <f t="shared" si="2"/>
        <v>2015.25</v>
      </c>
    </row>
    <row r="41" spans="1:14" x14ac:dyDescent="0.2">
      <c r="A41" s="12" t="str">
        <f t="shared" si="1"/>
        <v>6/30/2015</v>
      </c>
      <c r="B41" s="22"/>
      <c r="C41" s="195">
        <f>ROUND([2]CPI!H115,2)</f>
        <v>189.59</v>
      </c>
      <c r="D41" s="121">
        <f t="shared" si="3"/>
        <v>189.50722820949159</v>
      </c>
      <c r="E41" s="121">
        <f t="shared" si="4"/>
        <v>189.43360899016173</v>
      </c>
      <c r="F41" s="121">
        <f t="shared" si="5"/>
        <v>189.54034586466241</v>
      </c>
      <c r="G41" s="121">
        <f t="shared" si="6"/>
        <v>189.52696217325249</v>
      </c>
      <c r="H41" s="121">
        <f t="shared" ref="H41:H54" si="7">TREND($C$40:$C$55,$N$40:$N$55,$N41,TRUE)</f>
        <v>189.94901470588275</v>
      </c>
      <c r="I41" s="121">
        <f t="shared" ref="I41:I54" si="8">GROWTH($C$40:$C$55,$N$40:$N$55,$N41,TRUE)</f>
        <v>189.95654101062695</v>
      </c>
      <c r="J41" s="50"/>
      <c r="K41" s="60"/>
      <c r="L41" s="60"/>
      <c r="M41" s="2"/>
      <c r="N41" s="12">
        <f t="shared" si="2"/>
        <v>2015.5</v>
      </c>
    </row>
    <row r="42" spans="1:14" x14ac:dyDescent="0.2">
      <c r="A42" s="12" t="str">
        <f t="shared" si="1"/>
        <v>9/30/2015</v>
      </c>
      <c r="C42" s="195">
        <f>ROUND([2]CPI!H116,2)</f>
        <v>190.03</v>
      </c>
      <c r="D42" s="121">
        <f t="shared" si="3"/>
        <v>189.97577613915701</v>
      </c>
      <c r="E42" s="121">
        <f t="shared" si="4"/>
        <v>189.90936411369927</v>
      </c>
      <c r="F42" s="121">
        <f t="shared" si="5"/>
        <v>190.04915789473762</v>
      </c>
      <c r="G42" s="121">
        <f t="shared" si="6"/>
        <v>190.03125898513343</v>
      </c>
      <c r="H42" s="121">
        <f t="shared" si="7"/>
        <v>190.40964705882379</v>
      </c>
      <c r="I42" s="121">
        <f t="shared" si="8"/>
        <v>190.41114294065724</v>
      </c>
      <c r="J42" s="121"/>
      <c r="K42" s="121"/>
      <c r="L42" s="121"/>
      <c r="M42" s="2"/>
      <c r="N42" s="12">
        <f t="shared" si="2"/>
        <v>2015.75</v>
      </c>
    </row>
    <row r="43" spans="1:14" x14ac:dyDescent="0.2">
      <c r="A43" s="12" t="str">
        <f t="shared" si="1"/>
        <v>12/31/2015</v>
      </c>
      <c r="B43" s="116"/>
      <c r="C43" s="195">
        <f>ROUND([2]CPI!H117,2)</f>
        <v>190.5</v>
      </c>
      <c r="D43" s="121">
        <f t="shared" si="3"/>
        <v>190.44432406882197</v>
      </c>
      <c r="E43" s="121">
        <f t="shared" si="4"/>
        <v>190.38631407768204</v>
      </c>
      <c r="F43" s="121">
        <f t="shared" si="5"/>
        <v>190.55796992481191</v>
      </c>
      <c r="G43" s="121">
        <f t="shared" si="6"/>
        <v>190.5368976392063</v>
      </c>
      <c r="H43" s="121">
        <f t="shared" si="7"/>
        <v>190.8702794117653</v>
      </c>
      <c r="I43" s="121">
        <f t="shared" si="8"/>
        <v>190.86683281908782</v>
      </c>
      <c r="J43" s="121"/>
      <c r="K43" s="121"/>
      <c r="L43" s="121"/>
      <c r="M43" s="2"/>
      <c r="N43" s="12">
        <f t="shared" si="2"/>
        <v>2016</v>
      </c>
    </row>
    <row r="44" spans="1:14" x14ac:dyDescent="0.2">
      <c r="A44" s="12" t="str">
        <f t="shared" si="1"/>
        <v>3/31/2016</v>
      </c>
      <c r="C44" s="195">
        <f>ROUND([2]CPI!H118,2)</f>
        <v>190.95</v>
      </c>
      <c r="D44" s="121">
        <f t="shared" si="3"/>
        <v>190.91287199848739</v>
      </c>
      <c r="E44" s="121">
        <f t="shared" si="4"/>
        <v>190.86446188290452</v>
      </c>
      <c r="F44" s="121">
        <f>TREND($C$36:$C$55,$N$36:$N$55,$N44,TRUE)</f>
        <v>191.06678195488712</v>
      </c>
      <c r="G44" s="121">
        <f t="shared" si="6"/>
        <v>191.04388170587066</v>
      </c>
      <c r="H44" s="121">
        <f t="shared" si="7"/>
        <v>191.33091176470634</v>
      </c>
      <c r="I44" s="121">
        <f t="shared" si="8"/>
        <v>191.32361324958362</v>
      </c>
      <c r="J44" s="121">
        <f>TREND($C$44:$C$55,$N$44:$N$55,$N44,TRUE)</f>
        <v>191.75551282051265</v>
      </c>
      <c r="K44" s="121">
        <f>GROWTH($C$44:$C$55,$N$44:$N$55,$N44,TRUE)</f>
        <v>191.76042593185255</v>
      </c>
      <c r="L44" s="121"/>
      <c r="M44" s="2"/>
      <c r="N44" s="12">
        <f t="shared" si="2"/>
        <v>2016.25</v>
      </c>
    </row>
    <row r="45" spans="1:14" x14ac:dyDescent="0.2">
      <c r="A45" s="12" t="str">
        <f t="shared" si="1"/>
        <v>6/30/2016</v>
      </c>
      <c r="C45" s="195">
        <f>ROUND([2]CPI!H119,2)</f>
        <v>192.03</v>
      </c>
      <c r="D45" s="121">
        <f>TREND($C$14:$C$55,$N$14:$N$55,$N45,TRUE)</f>
        <v>191.38141992815281</v>
      </c>
      <c r="E45" s="121">
        <f t="shared" si="4"/>
        <v>191.34381053769829</v>
      </c>
      <c r="F45" s="121">
        <f t="shared" si="5"/>
        <v>191.57559398496232</v>
      </c>
      <c r="G45" s="121">
        <f t="shared" si="6"/>
        <v>191.55221476502436</v>
      </c>
      <c r="H45" s="121">
        <f t="shared" si="7"/>
        <v>191.79154411764739</v>
      </c>
      <c r="I45" s="121">
        <f t="shared" si="8"/>
        <v>191.78148684204334</v>
      </c>
      <c r="J45" s="121">
        <f t="shared" ref="J45:J54" si="9">TREND($C$44:$C$55,$N$44:$N$55,$N45,TRUE)</f>
        <v>192.15617715617691</v>
      </c>
      <c r="K45" s="121">
        <f t="shared" ref="K45:K54" si="10">GROWTH($C$44:$C$55,$N$44:$N$55,$N45,TRUE)</f>
        <v>192.15737848466216</v>
      </c>
      <c r="L45" s="121"/>
      <c r="M45" s="2"/>
      <c r="N45" s="12">
        <f t="shared" si="2"/>
        <v>2016.5</v>
      </c>
    </row>
    <row r="46" spans="1:14" x14ac:dyDescent="0.2">
      <c r="A46" s="12" t="str">
        <f t="shared" si="1"/>
        <v>9/30/2016</v>
      </c>
      <c r="C46" s="195">
        <f>ROUND([2]CPI!H120,2)</f>
        <v>192.82</v>
      </c>
      <c r="D46" s="121">
        <f t="shared" si="3"/>
        <v>191.84996785781823</v>
      </c>
      <c r="E46" s="121">
        <f>GROWTH($C$14:$C$55,$N$14:$N$55,$N46,TRUE)</f>
        <v>191.82436305795019</v>
      </c>
      <c r="F46" s="121">
        <f t="shared" si="5"/>
        <v>192.08440601503753</v>
      </c>
      <c r="G46" s="121">
        <f t="shared" si="6"/>
        <v>192.0619004060913</v>
      </c>
      <c r="H46" s="121">
        <f t="shared" si="7"/>
        <v>192.25217647058889</v>
      </c>
      <c r="I46" s="121">
        <f t="shared" si="8"/>
        <v>192.24045621260896</v>
      </c>
      <c r="J46" s="121">
        <f t="shared" si="9"/>
        <v>192.55684149184117</v>
      </c>
      <c r="K46" s="121">
        <f t="shared" si="10"/>
        <v>192.55515274679243</v>
      </c>
      <c r="L46" s="121"/>
      <c r="M46" s="2"/>
      <c r="N46" s="12">
        <f t="shared" si="2"/>
        <v>2016.75</v>
      </c>
    </row>
    <row r="47" spans="1:14" x14ac:dyDescent="0.2">
      <c r="A47" s="12" t="str">
        <f t="shared" si="1"/>
        <v>12/31/2016</v>
      </c>
      <c r="C47" s="195">
        <f>ROUND([2]CPI!H121,2)</f>
        <v>193.56</v>
      </c>
      <c r="D47" s="121">
        <f t="shared" si="3"/>
        <v>192.31851578748365</v>
      </c>
      <c r="E47" s="121">
        <f t="shared" si="4"/>
        <v>192.30612246712144</v>
      </c>
      <c r="F47" s="121">
        <f t="shared" si="5"/>
        <v>192.59321804511274</v>
      </c>
      <c r="G47" s="121">
        <f t="shared" si="6"/>
        <v>192.57294222804614</v>
      </c>
      <c r="H47" s="121">
        <f t="shared" si="7"/>
        <v>192.71280882352994</v>
      </c>
      <c r="I47" s="121">
        <f t="shared" si="8"/>
        <v>192.70052398368611</v>
      </c>
      <c r="J47" s="121">
        <f t="shared" si="9"/>
        <v>192.95750582750543</v>
      </c>
      <c r="K47" s="121">
        <f t="shared" si="10"/>
        <v>192.9537504192165</v>
      </c>
      <c r="L47" s="121"/>
      <c r="M47" s="2"/>
      <c r="N47" s="12">
        <f t="shared" si="2"/>
        <v>2017</v>
      </c>
    </row>
    <row r="48" spans="1:14" x14ac:dyDescent="0.2">
      <c r="A48" s="12" t="str">
        <f t="shared" si="1"/>
        <v>3/31/2017</v>
      </c>
      <c r="B48" s="116"/>
      <c r="C48" s="195">
        <f>ROUND([2]CPI!H122,2)</f>
        <v>193.86</v>
      </c>
      <c r="D48" s="121">
        <f t="shared" si="3"/>
        <v>192.78706371714907</v>
      </c>
      <c r="E48" s="121">
        <f t="shared" si="4"/>
        <v>192.78909179626584</v>
      </c>
      <c r="F48" s="121">
        <f t="shared" si="5"/>
        <v>193.10203007518794</v>
      </c>
      <c r="G48" s="121">
        <f t="shared" si="6"/>
        <v>193.08534383943993</v>
      </c>
      <c r="H48" s="121">
        <f t="shared" si="7"/>
        <v>193.17344117647099</v>
      </c>
      <c r="I48" s="121">
        <f t="shared" si="8"/>
        <v>193.16169278395361</v>
      </c>
      <c r="J48" s="121">
        <f>TREND($C$44:$C$55,$N$44:$N$55,$N48,TRUE)</f>
        <v>193.35817016316969</v>
      </c>
      <c r="K48" s="121">
        <f t="shared" si="10"/>
        <v>193.3531732064308</v>
      </c>
      <c r="L48" s="121"/>
      <c r="M48" s="2"/>
      <c r="N48" s="12">
        <f t="shared" si="2"/>
        <v>2017.25</v>
      </c>
    </row>
    <row r="49" spans="1:14" x14ac:dyDescent="0.2">
      <c r="A49" s="12" t="str">
        <f t="shared" si="1"/>
        <v>6/30/2017</v>
      </c>
      <c r="C49" s="195">
        <f>ROUND([2]CPI!H123,2)</f>
        <v>194.07</v>
      </c>
      <c r="D49" s="121">
        <f t="shared" si="3"/>
        <v>193.25561164681403</v>
      </c>
      <c r="E49" s="121">
        <f t="shared" si="4"/>
        <v>193.27327408405151</v>
      </c>
      <c r="F49" s="121">
        <f t="shared" si="5"/>
        <v>193.61084210526315</v>
      </c>
      <c r="G49" s="121">
        <f t="shared" si="6"/>
        <v>193.59910885842524</v>
      </c>
      <c r="H49" s="121">
        <f t="shared" si="7"/>
        <v>193.63407352941203</v>
      </c>
      <c r="I49" s="121">
        <f t="shared" si="8"/>
        <v>193.62396524838391</v>
      </c>
      <c r="J49" s="121">
        <f t="shared" si="9"/>
        <v>193.7588344988344</v>
      </c>
      <c r="K49" s="121">
        <f t="shared" si="10"/>
        <v>193.75342281646002</v>
      </c>
      <c r="L49" s="121"/>
      <c r="M49" s="2"/>
      <c r="N49" s="12">
        <f t="shared" si="2"/>
        <v>2017.5</v>
      </c>
    </row>
    <row r="50" spans="1:14" x14ac:dyDescent="0.2">
      <c r="A50" s="12" t="str">
        <f t="shared" si="1"/>
        <v>9/30/2017</v>
      </c>
      <c r="C50" s="195">
        <f>ROUND([2]CPI!H124,2)</f>
        <v>194.2</v>
      </c>
      <c r="D50" s="121">
        <f t="shared" si="3"/>
        <v>193.72415957647945</v>
      </c>
      <c r="E50" s="121">
        <f t="shared" si="4"/>
        <v>193.75867237677619</v>
      </c>
      <c r="F50" s="121">
        <f t="shared" si="5"/>
        <v>194.11965413533835</v>
      </c>
      <c r="G50" s="121">
        <f t="shared" si="6"/>
        <v>194.11424091278198</v>
      </c>
      <c r="H50" s="121">
        <f t="shared" si="7"/>
        <v>194.09470588235354</v>
      </c>
      <c r="I50" s="121">
        <f t="shared" si="8"/>
        <v>194.08734401825268</v>
      </c>
      <c r="J50" s="121">
        <f t="shared" si="9"/>
        <v>194.15949883449866</v>
      </c>
      <c r="K50" s="121">
        <f t="shared" si="10"/>
        <v>194.15450096086258</v>
      </c>
      <c r="L50" s="121"/>
      <c r="M50" s="2"/>
      <c r="N50" s="12">
        <f t="shared" si="2"/>
        <v>2017.75</v>
      </c>
    </row>
    <row r="51" spans="1:14" x14ac:dyDescent="0.2">
      <c r="A51" s="12" t="str">
        <f t="shared" si="1"/>
        <v>12/31/2017</v>
      </c>
      <c r="C51" s="195">
        <f>ROUND([2]CPI!H125,2)</f>
        <v>194.18</v>
      </c>
      <c r="D51" s="121">
        <f t="shared" si="3"/>
        <v>194.19270750614487</v>
      </c>
      <c r="E51" s="121">
        <f t="shared" si="4"/>
        <v>194.24528972838883</v>
      </c>
      <c r="F51" s="121">
        <f t="shared" si="5"/>
        <v>194.62846616541356</v>
      </c>
      <c r="G51" s="121">
        <f t="shared" si="6"/>
        <v>194.63074363994289</v>
      </c>
      <c r="H51" s="121">
        <f t="shared" si="7"/>
        <v>194.55533823529458</v>
      </c>
      <c r="I51" s="121">
        <f t="shared" si="8"/>
        <v>194.55183174115882</v>
      </c>
      <c r="J51" s="121">
        <f t="shared" si="9"/>
        <v>194.56016317016292</v>
      </c>
      <c r="K51" s="121">
        <f t="shared" si="10"/>
        <v>194.55640935474264</v>
      </c>
      <c r="L51" s="121"/>
      <c r="M51" s="2"/>
      <c r="N51" s="12">
        <f t="shared" si="2"/>
        <v>2018</v>
      </c>
    </row>
    <row r="52" spans="1:14" x14ac:dyDescent="0.2">
      <c r="A52" s="12" t="str">
        <f t="shared" si="1"/>
        <v>3/31/2018</v>
      </c>
      <c r="C52" s="195">
        <f>ROUND([2]CPI!H126,2)</f>
        <v>194.71</v>
      </c>
      <c r="D52" s="121">
        <f t="shared" si="3"/>
        <v>194.66125543581029</v>
      </c>
      <c r="E52" s="121">
        <f t="shared" si="4"/>
        <v>194.73312920050833</v>
      </c>
      <c r="F52" s="121">
        <f t="shared" si="5"/>
        <v>195.13727819548876</v>
      </c>
      <c r="G52" s="121">
        <f t="shared" si="6"/>
        <v>195.1486206870193</v>
      </c>
      <c r="H52" s="121">
        <f t="shared" si="7"/>
        <v>195.01597058823563</v>
      </c>
      <c r="I52" s="121">
        <f t="shared" si="8"/>
        <v>195.01743107103732</v>
      </c>
      <c r="J52" s="121">
        <f t="shared" si="9"/>
        <v>194.96082750582718</v>
      </c>
      <c r="K52" s="121">
        <f>GROWTH($C$44:$C$55,$N$44:$N$55,$N52,TRUE)</f>
        <v>194.95914971675188</v>
      </c>
      <c r="L52" s="121"/>
      <c r="M52" s="2"/>
      <c r="N52" s="12">
        <f t="shared" si="2"/>
        <v>2018.25</v>
      </c>
    </row>
    <row r="53" spans="1:14" x14ac:dyDescent="0.2">
      <c r="A53" s="12" t="str">
        <f t="shared" si="1"/>
        <v>6/30/2018</v>
      </c>
      <c r="C53" s="195">
        <f>ROUND([2]CPI!H127,2)</f>
        <v>195.24</v>
      </c>
      <c r="D53" s="121">
        <f t="shared" si="3"/>
        <v>195.12980336547571</v>
      </c>
      <c r="E53" s="121">
        <f t="shared" si="4"/>
        <v>195.22219386244265</v>
      </c>
      <c r="F53" s="121">
        <f t="shared" si="5"/>
        <v>195.64609022556397</v>
      </c>
      <c r="G53" s="121">
        <f t="shared" si="6"/>
        <v>195.66787571082679</v>
      </c>
      <c r="H53" s="121">
        <f t="shared" si="7"/>
        <v>195.47660294117713</v>
      </c>
      <c r="I53" s="121">
        <f t="shared" si="8"/>
        <v>195.4841446681726</v>
      </c>
      <c r="J53" s="121">
        <f t="shared" si="9"/>
        <v>195.36149184149144</v>
      </c>
      <c r="K53" s="121">
        <f t="shared" si="10"/>
        <v>195.36272376910176</v>
      </c>
      <c r="L53" s="171"/>
      <c r="M53" s="2"/>
      <c r="N53" s="12">
        <f t="shared" si="2"/>
        <v>2018.5</v>
      </c>
    </row>
    <row r="54" spans="1:14" x14ac:dyDescent="0.2">
      <c r="A54" s="12" t="str">
        <f>TEXT(DATE(YEAR(A55+1),MONTH(A55+1)-3,1)-1,"m/d/yyyy")</f>
        <v>9/30/2018</v>
      </c>
      <c r="C54" s="195">
        <f>ROUND([2]CPI!H128,2)</f>
        <v>195.63</v>
      </c>
      <c r="D54" s="121">
        <f t="shared" si="3"/>
        <v>195.59835129514113</v>
      </c>
      <c r="E54" s="121">
        <f t="shared" si="4"/>
        <v>195.71248679120762</v>
      </c>
      <c r="F54" s="121">
        <f t="shared" si="5"/>
        <v>196.15490225563917</v>
      </c>
      <c r="G54" s="121">
        <f t="shared" si="6"/>
        <v>196.18851237791037</v>
      </c>
      <c r="H54" s="121">
        <f t="shared" si="7"/>
        <v>195.93723529411818</v>
      </c>
      <c r="I54" s="121">
        <f t="shared" si="8"/>
        <v>195.95197519921828</v>
      </c>
      <c r="J54" s="121">
        <f t="shared" si="9"/>
        <v>195.7621561771557</v>
      </c>
      <c r="K54" s="121">
        <f t="shared" si="10"/>
        <v>195.76713323756883</v>
      </c>
      <c r="L54"/>
      <c r="M54" s="2"/>
      <c r="N54" s="12">
        <f t="shared" si="2"/>
        <v>2018.75</v>
      </c>
    </row>
    <row r="55" spans="1:14" x14ac:dyDescent="0.2">
      <c r="A55" s="12" t="str">
        <f>TEXT($N$9,"m/d/yyyy")</f>
        <v>12/31/2018</v>
      </c>
      <c r="C55" s="195">
        <f>ROUND([2]CPI!H129,2)</f>
        <v>196.26</v>
      </c>
      <c r="D55" s="121">
        <f t="shared" si="3"/>
        <v>196.06689922480609</v>
      </c>
      <c r="E55" s="121">
        <f t="shared" si="4"/>
        <v>196.20401107154885</v>
      </c>
      <c r="F55" s="121">
        <f>TREND($C$36:$C$55,$N$36:$N$55,$N55,TRUE)</f>
        <v>196.66371428571438</v>
      </c>
      <c r="G55" s="121">
        <f>GROWTH($C$36:$C$55,$N$36:$N$55,$N55,TRUE)</f>
        <v>196.71053436457316</v>
      </c>
      <c r="H55" s="121">
        <f>TREND($C$40:$C$55,$N$40:$N$55,$N55,TRUE)</f>
        <v>196.39786764705923</v>
      </c>
      <c r="I55" s="121">
        <f>GROWTH($C$40:$C$55,$N$40:$N$55,$N55,TRUE)</f>
        <v>196.42092533720714</v>
      </c>
      <c r="J55" s="121">
        <f>TREND($C$44:$C$55,$N$44:$N$55,$N55,TRUE)</f>
        <v>196.16282051282042</v>
      </c>
      <c r="K55" s="121">
        <f>GROWTH($C$44:$C$55,$N$44:$N$55,$N55,TRUE)</f>
        <v>196.17237985149995</v>
      </c>
      <c r="L55"/>
      <c r="M55" s="2"/>
      <c r="N55" s="12">
        <f t="shared" si="2"/>
        <v>2019</v>
      </c>
    </row>
    <row r="56" spans="1:14" x14ac:dyDescent="0.2">
      <c r="A56" s="173"/>
      <c r="B56" s="9"/>
      <c r="C56" s="196"/>
      <c r="D56" s="123"/>
      <c r="E56" s="123"/>
      <c r="F56" s="123"/>
      <c r="G56" s="123"/>
      <c r="H56" s="123"/>
      <c r="I56" s="123"/>
      <c r="J56" s="123"/>
      <c r="K56" s="123"/>
      <c r="L56"/>
      <c r="M56" s="2"/>
    </row>
    <row r="57" spans="1:14" x14ac:dyDescent="0.2">
      <c r="A57" s="50"/>
      <c r="B57" s="110"/>
      <c r="C57" s="50"/>
      <c r="D57" s="50"/>
      <c r="E57" s="50"/>
      <c r="F57" s="50"/>
      <c r="G57" s="50"/>
      <c r="H57" s="50"/>
      <c r="I57" s="104"/>
      <c r="J57" s="50"/>
      <c r="K57" s="50"/>
      <c r="L57" s="50"/>
      <c r="M57" s="2"/>
    </row>
    <row r="58" spans="1:14" x14ac:dyDescent="0.2">
      <c r="A58" s="12" t="s">
        <v>264</v>
      </c>
      <c r="C58"/>
      <c r="D58" s="20">
        <f>(D55-D51)/D55</f>
        <v>9.5589399642226954E-3</v>
      </c>
      <c r="E58" s="20">
        <f>LOGEST($C$14:$C$55,$N$14:$N$55,TRUE,TRUE)-1</f>
        <v>1.008375207398382E-2</v>
      </c>
      <c r="F58" s="20">
        <f>(F55-F51)/F55</f>
        <v>1.0348874614175134E-2</v>
      </c>
      <c r="G58" s="20">
        <f>LOGEST($C$36:$C$55,$N$36:$N$55,TRUE,TRUE)-1</f>
        <v>1.0685828383198537E-2</v>
      </c>
      <c r="H58" s="20">
        <f>(H55-H51)/H55</f>
        <v>9.3816161745493044E-3</v>
      </c>
      <c r="I58" s="20">
        <f>LOGEST($C$40:$C$55,$N$40:$N$55,TRUE,TRUE)-1</f>
        <v>9.6071755239750534E-3</v>
      </c>
      <c r="J58" s="20">
        <f>(J55-J51)/J55</f>
        <v>8.1700361896700543E-3</v>
      </c>
      <c r="K58" s="20">
        <f>LOGEST($C$44:$C$55,$N$44:$N$55,TRUE,TRUE)-1</f>
        <v>8.3059226993198454E-3</v>
      </c>
      <c r="L58" s="20"/>
      <c r="M58" s="2"/>
    </row>
    <row r="59" spans="1:14" x14ac:dyDescent="0.2">
      <c r="A59" s="124" t="s">
        <v>265</v>
      </c>
      <c r="B59" s="116"/>
      <c r="C59" s="106"/>
      <c r="D59" s="107">
        <f>INDEX(LINEST($C$14:$C$55,$N$14:$N$55,TRUE,TRUE),3,1)</f>
        <v>0.9427518432287908</v>
      </c>
      <c r="E59" s="107">
        <f>INDEX(LOGEST($C$14:$C$55,$N$14:$N$55,TRUE,TRUE),3,1)</f>
        <v>0.94196712374844127</v>
      </c>
      <c r="F59" s="107">
        <f>INDEX(LINEST($C$36:$C$55,$N$36:$N$55,TRUE,TRUE),3,1)</f>
        <v>0.97409880590428954</v>
      </c>
      <c r="G59" s="107">
        <f>INDEX(LOGEST($C$36:$C$55,$N$36:$N$55,TRUE,TRUE),3,1)</f>
        <v>0.97261536897266887</v>
      </c>
      <c r="H59" s="107">
        <f>INDEX(LINEST($C$40:$C$55,$N$40:$N$55,TRUE,TRUE),3,1)</f>
        <v>0.96354536118342804</v>
      </c>
      <c r="I59" s="107">
        <f>INDEX(LOGEST($C$40:$C$55,$N$40:$N$55,TRUE,TRUE),3,1)</f>
        <v>0.96254119256212634</v>
      </c>
      <c r="J59" s="107">
        <f>INDEX(LINEST($C$44:$C$55,$N$44:$N$55,TRUE,TRUE),3,1)</f>
        <v>0.9311863247854838</v>
      </c>
      <c r="K59" s="107">
        <f>INDEX(LOGEST($C$44:$C$55,$N$44:$N$55,TRUE,TRUE),3,1)</f>
        <v>0.92982480296551229</v>
      </c>
      <c r="L59" s="107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5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 s="50"/>
      <c r="J61"/>
      <c r="K61" s="50"/>
      <c r="L61" s="50"/>
      <c r="M61" s="2"/>
    </row>
    <row r="62" spans="1:14" x14ac:dyDescent="0.2">
      <c r="A62" t="s">
        <v>18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2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2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B65" s="22"/>
      <c r="D65"/>
      <c r="E65"/>
      <c r="F65"/>
      <c r="H65"/>
      <c r="J65"/>
      <c r="K65"/>
      <c r="L65"/>
      <c r="M65" s="2"/>
    </row>
    <row r="66" spans="1:13" x14ac:dyDescent="0.2">
      <c r="A66"/>
      <c r="B66" s="22"/>
      <c r="D66"/>
      <c r="E66"/>
      <c r="F66"/>
      <c r="H66"/>
      <c r="J66"/>
      <c r="K66"/>
      <c r="L66"/>
      <c r="M66" s="2"/>
    </row>
    <row r="67" spans="1:13" x14ac:dyDescent="0.2">
      <c r="A67"/>
      <c r="B67" s="22"/>
      <c r="D67"/>
      <c r="E67"/>
      <c r="F67"/>
      <c r="H67"/>
      <c r="J67"/>
      <c r="K67"/>
      <c r="L67"/>
      <c r="M67" s="2"/>
    </row>
    <row r="68" spans="1:13" x14ac:dyDescent="0.2">
      <c r="A68"/>
      <c r="B68" s="22"/>
      <c r="D68"/>
      <c r="E68"/>
      <c r="F68"/>
      <c r="H68"/>
      <c r="J68"/>
      <c r="K68"/>
      <c r="L68"/>
      <c r="M68" s="2"/>
    </row>
    <row r="69" spans="1:13" ht="12" thickBot="1" x14ac:dyDescent="0.25">
      <c r="A69" s="124"/>
      <c r="B69" s="116"/>
      <c r="C69" s="106"/>
      <c r="D69" s="107"/>
      <c r="E69" s="107"/>
      <c r="F69" s="107"/>
      <c r="G69" s="107"/>
      <c r="H69" s="107"/>
      <c r="I69" s="107"/>
      <c r="J69" s="107"/>
      <c r="K69" s="107"/>
      <c r="L69" s="107"/>
      <c r="M69" s="2"/>
    </row>
    <row r="70" spans="1:13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M71"/>
  <sheetViews>
    <sheetView zoomScaleNormal="100" workbookViewId="0">
      <selection activeCell="H37" sqref="H37"/>
    </sheetView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2" x14ac:dyDescent="0.2">
      <c r="A1" s="8" t="str">
        <f>'1'!$A$1</f>
        <v>Texas Windstorm Insurance Association</v>
      </c>
      <c r="B1" s="12"/>
      <c r="J1" s="7" t="s">
        <v>76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77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K7" s="2"/>
    </row>
    <row r="8" spans="1:12" ht="12" thickTop="1" x14ac:dyDescent="0.2">
      <c r="K8" s="2"/>
    </row>
    <row r="9" spans="1:12" x14ac:dyDescent="0.2">
      <c r="C9" s="22" t="s">
        <v>41</v>
      </c>
      <c r="D9" t="s">
        <v>41</v>
      </c>
      <c r="E9" t="s">
        <v>36</v>
      </c>
      <c r="K9" s="2"/>
      <c r="L9" s="27"/>
    </row>
    <row r="10" spans="1:12" x14ac:dyDescent="0.2">
      <c r="A10" t="s">
        <v>54</v>
      </c>
      <c r="C10" t="s">
        <v>36</v>
      </c>
      <c r="D10" t="s">
        <v>36</v>
      </c>
      <c r="E10" t="s">
        <v>78</v>
      </c>
      <c r="F10" t="s">
        <v>6</v>
      </c>
      <c r="K10" s="2"/>
    </row>
    <row r="11" spans="1:12" x14ac:dyDescent="0.2">
      <c r="A11" s="9" t="s">
        <v>55</v>
      </c>
      <c r="B11" s="9"/>
      <c r="C11" s="9" t="s">
        <v>42</v>
      </c>
      <c r="D11" s="9" t="s">
        <v>37</v>
      </c>
      <c r="E11" s="9" t="s">
        <v>79</v>
      </c>
      <c r="F11" s="9" t="s">
        <v>80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2" x14ac:dyDescent="0.2">
      <c r="A13" s="247"/>
      <c r="C13" s="31"/>
      <c r="D13" s="128"/>
      <c r="K13" s="2"/>
    </row>
    <row r="14" spans="1:12" x14ac:dyDescent="0.2">
      <c r="A14" s="298">
        <v>1980</v>
      </c>
      <c r="B14" s="59"/>
      <c r="C14" s="31">
        <f>'4.2'!E14</f>
        <v>12911</v>
      </c>
      <c r="D14" s="128">
        <f>'4.4'!G13</f>
        <v>1318</v>
      </c>
      <c r="E14" s="39">
        <f>ROUND(D14/C14,3)</f>
        <v>0.10199999999999999</v>
      </c>
      <c r="F14" s="38" t="s">
        <v>81</v>
      </c>
      <c r="K14" s="2"/>
    </row>
    <row r="15" spans="1:12" x14ac:dyDescent="0.2">
      <c r="A15" s="62" t="str">
        <f t="shared" ref="A15:A52" si="0">TEXT(A14+1,"#")</f>
        <v>1981</v>
      </c>
      <c r="B15" s="59"/>
      <c r="C15" s="31">
        <f>'4.2'!E15</f>
        <v>2512</v>
      </c>
      <c r="D15" s="128">
        <f>'4.4'!G14</f>
        <v>543</v>
      </c>
      <c r="E15" s="39">
        <f t="shared" ref="E15:E43" si="1">ROUND(D15/C15,3)</f>
        <v>0.216</v>
      </c>
      <c r="F15" s="38"/>
      <c r="K15" s="2"/>
    </row>
    <row r="16" spans="1:12" x14ac:dyDescent="0.2">
      <c r="A16" s="62" t="str">
        <f t="shared" si="0"/>
        <v>1982</v>
      </c>
      <c r="B16" s="59"/>
      <c r="C16" s="31">
        <f>'4.2'!E16</f>
        <v>796</v>
      </c>
      <c r="D16" s="128">
        <f>'4.4'!G15</f>
        <v>565</v>
      </c>
      <c r="E16" s="39">
        <f t="shared" si="1"/>
        <v>0.71</v>
      </c>
      <c r="F16" s="38"/>
      <c r="K16" s="2"/>
    </row>
    <row r="17" spans="1:11" x14ac:dyDescent="0.2">
      <c r="A17" s="62" t="str">
        <f t="shared" si="0"/>
        <v>1983</v>
      </c>
      <c r="B17" s="59"/>
      <c r="C17" s="31">
        <f>'4.2'!E17</f>
        <v>148999</v>
      </c>
      <c r="D17" s="128">
        <f>'4.4'!G16</f>
        <v>9127</v>
      </c>
      <c r="E17" s="39">
        <f t="shared" si="1"/>
        <v>6.0999999999999999E-2</v>
      </c>
      <c r="F17" s="38" t="s">
        <v>81</v>
      </c>
      <c r="K17" s="2"/>
    </row>
    <row r="18" spans="1:11" x14ac:dyDescent="0.2">
      <c r="A18" s="62" t="str">
        <f t="shared" si="0"/>
        <v>1984</v>
      </c>
      <c r="B18" s="59"/>
      <c r="C18" s="31">
        <f>'4.2'!E18</f>
        <v>999</v>
      </c>
      <c r="D18" s="128">
        <f>'4.4'!G17</f>
        <v>324</v>
      </c>
      <c r="E18" s="39">
        <f t="shared" si="1"/>
        <v>0.32400000000000001</v>
      </c>
      <c r="F18" s="38"/>
      <c r="K18" s="2"/>
    </row>
    <row r="19" spans="1:11" x14ac:dyDescent="0.2">
      <c r="A19" s="62" t="str">
        <f t="shared" si="0"/>
        <v>1985</v>
      </c>
      <c r="B19" s="59"/>
      <c r="C19" s="31">
        <f>'4.2'!E19</f>
        <v>512</v>
      </c>
      <c r="D19" s="128">
        <f>'4.4'!G18</f>
        <v>297</v>
      </c>
      <c r="E19" s="39">
        <f t="shared" si="1"/>
        <v>0.57999999999999996</v>
      </c>
      <c r="F19" s="38"/>
      <c r="K19" s="2"/>
    </row>
    <row r="20" spans="1:11" x14ac:dyDescent="0.2">
      <c r="A20" s="62" t="str">
        <f t="shared" si="0"/>
        <v>1986</v>
      </c>
      <c r="B20" s="59"/>
      <c r="C20" s="31">
        <f>'4.2'!E20</f>
        <v>881</v>
      </c>
      <c r="D20" s="128">
        <f>'4.4'!G19</f>
        <v>505</v>
      </c>
      <c r="E20" s="39">
        <f t="shared" si="1"/>
        <v>0.57299999999999995</v>
      </c>
      <c r="F20" s="38" t="s">
        <v>81</v>
      </c>
      <c r="K20" s="2"/>
    </row>
    <row r="21" spans="1:11" x14ac:dyDescent="0.2">
      <c r="A21" s="62" t="str">
        <f t="shared" si="0"/>
        <v>1987</v>
      </c>
      <c r="B21" s="59"/>
      <c r="C21" s="31">
        <f>'4.2'!E21</f>
        <v>1897</v>
      </c>
      <c r="D21" s="128">
        <f>'4.4'!G20</f>
        <v>1056</v>
      </c>
      <c r="E21" s="39">
        <f t="shared" si="1"/>
        <v>0.55700000000000005</v>
      </c>
      <c r="F21" s="38"/>
      <c r="K21" s="2"/>
    </row>
    <row r="22" spans="1:11" x14ac:dyDescent="0.2">
      <c r="A22" s="62" t="str">
        <f t="shared" si="0"/>
        <v>1988</v>
      </c>
      <c r="B22" s="62"/>
      <c r="C22" s="31">
        <f>'4.2'!E22</f>
        <v>1160</v>
      </c>
      <c r="D22" s="128">
        <f>'4.4'!G21</f>
        <v>357</v>
      </c>
      <c r="E22" s="39">
        <f t="shared" si="1"/>
        <v>0.308</v>
      </c>
      <c r="F22" s="27"/>
      <c r="K22" s="2"/>
    </row>
    <row r="23" spans="1:11" x14ac:dyDescent="0.2">
      <c r="A23" s="62" t="str">
        <f t="shared" si="0"/>
        <v>1989</v>
      </c>
      <c r="B23" s="62"/>
      <c r="C23" s="31">
        <f>'4.2'!E23</f>
        <v>12296</v>
      </c>
      <c r="D23" s="128">
        <f>'4.4'!G22</f>
        <v>3528</v>
      </c>
      <c r="E23" s="39">
        <f t="shared" si="1"/>
        <v>0.28699999999999998</v>
      </c>
      <c r="F23" s="27" t="s">
        <v>81</v>
      </c>
      <c r="K23" s="2"/>
    </row>
    <row r="24" spans="1:11" x14ac:dyDescent="0.2">
      <c r="A24" s="62" t="str">
        <f t="shared" si="0"/>
        <v>1990</v>
      </c>
      <c r="B24" s="62"/>
      <c r="C24" s="31">
        <f>'4.2'!E24</f>
        <v>335</v>
      </c>
      <c r="D24" s="128">
        <f>'4.4'!G23</f>
        <v>225</v>
      </c>
      <c r="E24" s="39">
        <f t="shared" si="1"/>
        <v>0.67200000000000004</v>
      </c>
      <c r="F24" s="27"/>
      <c r="K24" s="2"/>
    </row>
    <row r="25" spans="1:11" x14ac:dyDescent="0.2">
      <c r="A25" s="62" t="str">
        <f t="shared" si="0"/>
        <v>1991</v>
      </c>
      <c r="B25" s="62"/>
      <c r="C25" s="31">
        <f>'4.2'!E25</f>
        <v>1217</v>
      </c>
      <c r="D25" s="128">
        <f>'4.4'!G24</f>
        <v>729</v>
      </c>
      <c r="E25" s="39">
        <f t="shared" si="1"/>
        <v>0.59899999999999998</v>
      </c>
      <c r="F25" s="27"/>
      <c r="K25" s="2"/>
    </row>
    <row r="26" spans="1:11" x14ac:dyDescent="0.2">
      <c r="A26" s="62" t="str">
        <f t="shared" si="0"/>
        <v>1992</v>
      </c>
      <c r="B26" s="62"/>
      <c r="C26" s="31">
        <f>'4.2'!E26</f>
        <v>489</v>
      </c>
      <c r="D26" s="128">
        <f>'4.4'!G25</f>
        <v>554</v>
      </c>
      <c r="E26" s="39">
        <f t="shared" si="1"/>
        <v>1.133</v>
      </c>
      <c r="F26" s="27"/>
      <c r="K26" s="2"/>
    </row>
    <row r="27" spans="1:11" x14ac:dyDescent="0.2">
      <c r="A27" s="62" t="str">
        <f t="shared" si="0"/>
        <v>1993</v>
      </c>
      <c r="B27" s="62"/>
      <c r="C27" s="31">
        <f>'4.2'!E27</f>
        <v>3375</v>
      </c>
      <c r="D27" s="128">
        <f>'4.4'!G26</f>
        <v>1375</v>
      </c>
      <c r="E27" s="39">
        <f t="shared" si="1"/>
        <v>0.40699999999999997</v>
      </c>
      <c r="F27" s="27"/>
      <c r="K27" s="2"/>
    </row>
    <row r="28" spans="1:11" x14ac:dyDescent="0.2">
      <c r="A28" s="62" t="str">
        <f t="shared" si="0"/>
        <v>1994</v>
      </c>
      <c r="B28" s="62"/>
      <c r="C28" s="31">
        <f>'4.2'!E28</f>
        <v>679</v>
      </c>
      <c r="D28" s="128">
        <f>'4.4'!G27</f>
        <v>507</v>
      </c>
      <c r="E28" s="39">
        <f t="shared" si="1"/>
        <v>0.747</v>
      </c>
      <c r="F28" s="27"/>
      <c r="K28" s="2"/>
    </row>
    <row r="29" spans="1:11" x14ac:dyDescent="0.2">
      <c r="A29" s="62" t="str">
        <f t="shared" si="0"/>
        <v>1995</v>
      </c>
      <c r="B29" s="62"/>
      <c r="C29" s="31">
        <f>'4.2'!E29</f>
        <v>2977</v>
      </c>
      <c r="D29" s="128">
        <f>'4.4'!G28</f>
        <v>903</v>
      </c>
      <c r="E29" s="39">
        <f t="shared" si="1"/>
        <v>0.30299999999999999</v>
      </c>
      <c r="F29" s="27"/>
      <c r="K29" s="2"/>
    </row>
    <row r="30" spans="1:11" x14ac:dyDescent="0.2">
      <c r="A30" s="62" t="str">
        <f t="shared" si="0"/>
        <v>1996</v>
      </c>
      <c r="B30" s="62"/>
      <c r="C30" s="31">
        <f>'4.2'!E30</f>
        <v>1166</v>
      </c>
      <c r="D30" s="128">
        <f>'4.4'!G29</f>
        <v>582</v>
      </c>
      <c r="E30" s="39">
        <f t="shared" si="1"/>
        <v>0.499</v>
      </c>
      <c r="F30" s="27"/>
      <c r="K30" s="2"/>
    </row>
    <row r="31" spans="1:11" x14ac:dyDescent="0.2">
      <c r="A31" s="62" t="str">
        <f t="shared" si="0"/>
        <v>1997</v>
      </c>
      <c r="B31" s="22"/>
      <c r="C31" s="31">
        <f>'4.2'!E31</f>
        <v>2964</v>
      </c>
      <c r="D31" s="128">
        <f>'4.4'!G30</f>
        <v>1343</v>
      </c>
      <c r="E31" s="39">
        <f t="shared" si="1"/>
        <v>0.45300000000000001</v>
      </c>
      <c r="F31" s="27"/>
      <c r="K31" s="2"/>
    </row>
    <row r="32" spans="1:11" x14ac:dyDescent="0.2">
      <c r="A32" s="62" t="str">
        <f t="shared" si="0"/>
        <v>1998</v>
      </c>
      <c r="B32" s="22"/>
      <c r="C32" s="31">
        <f>'4.2'!E32</f>
        <v>22401</v>
      </c>
      <c r="D32" s="128">
        <f>'4.4'!G31</f>
        <v>4732</v>
      </c>
      <c r="E32" s="39">
        <f t="shared" si="1"/>
        <v>0.21099999999999999</v>
      </c>
      <c r="F32" s="27"/>
      <c r="K32" s="2"/>
    </row>
    <row r="33" spans="1:12" x14ac:dyDescent="0.2">
      <c r="A33" s="62" t="str">
        <f t="shared" si="0"/>
        <v>1999</v>
      </c>
      <c r="B33" s="22"/>
      <c r="C33" s="31">
        <f>'4.2'!E33</f>
        <v>8773</v>
      </c>
      <c r="D33" s="128">
        <f>'4.4'!G32</f>
        <v>2388</v>
      </c>
      <c r="E33" s="39">
        <f t="shared" si="1"/>
        <v>0.27200000000000002</v>
      </c>
      <c r="F33" s="27" t="s">
        <v>81</v>
      </c>
      <c r="K33" s="2"/>
    </row>
    <row r="34" spans="1:12" x14ac:dyDescent="0.2">
      <c r="A34" s="62" t="str">
        <f t="shared" si="0"/>
        <v>2000</v>
      </c>
      <c r="B34" s="62"/>
      <c r="C34" s="31">
        <f>'4.2'!E34</f>
        <v>6227</v>
      </c>
      <c r="D34" s="128">
        <f>'4.4'!G33</f>
        <v>1885</v>
      </c>
      <c r="E34" s="39">
        <f t="shared" si="1"/>
        <v>0.30299999999999999</v>
      </c>
      <c r="F34" s="27"/>
      <c r="K34" s="2"/>
    </row>
    <row r="35" spans="1:12" x14ac:dyDescent="0.2">
      <c r="A35" s="62" t="str">
        <f t="shared" si="0"/>
        <v>2001</v>
      </c>
      <c r="B35" s="62"/>
      <c r="C35" s="31">
        <f>'4.2'!E35</f>
        <v>24605</v>
      </c>
      <c r="D35" s="128">
        <f>'4.4'!G34</f>
        <v>1880</v>
      </c>
      <c r="E35" s="39">
        <f t="shared" si="1"/>
        <v>7.5999999999999998E-2</v>
      </c>
      <c r="F35" s="27"/>
      <c r="K35" s="2"/>
    </row>
    <row r="36" spans="1:12" x14ac:dyDescent="0.2">
      <c r="A36" s="62" t="str">
        <f t="shared" si="0"/>
        <v>2002</v>
      </c>
      <c r="B36" s="62"/>
      <c r="C36" s="31">
        <f>'4.2'!E36</f>
        <v>5167</v>
      </c>
      <c r="D36" s="128">
        <f>'4.4'!G35</f>
        <v>5226</v>
      </c>
      <c r="E36" s="39">
        <f t="shared" si="1"/>
        <v>1.0109999999999999</v>
      </c>
      <c r="F36" s="27"/>
      <c r="K36" s="2"/>
    </row>
    <row r="37" spans="1:12" x14ac:dyDescent="0.2">
      <c r="A37" s="62" t="str">
        <f t="shared" si="0"/>
        <v>2003</v>
      </c>
      <c r="B37" s="62"/>
      <c r="C37" s="31">
        <f>'4.2'!E37</f>
        <v>155001</v>
      </c>
      <c r="D37" s="128">
        <f>'4.4'!G36</f>
        <v>5122</v>
      </c>
      <c r="E37" s="39">
        <f t="shared" si="1"/>
        <v>3.3000000000000002E-2</v>
      </c>
      <c r="F37" s="27" t="s">
        <v>81</v>
      </c>
      <c r="K37" s="2"/>
    </row>
    <row r="38" spans="1:12" x14ac:dyDescent="0.2">
      <c r="A38" s="62" t="str">
        <f t="shared" si="0"/>
        <v>2004</v>
      </c>
      <c r="B38" s="62"/>
      <c r="C38" s="31">
        <f>'4.2'!E38</f>
        <v>5167</v>
      </c>
      <c r="D38" s="128">
        <f>'4.4'!G37</f>
        <v>1471</v>
      </c>
      <c r="E38" s="39">
        <f t="shared" si="1"/>
        <v>0.28499999999999998</v>
      </c>
      <c r="F38" s="27"/>
      <c r="K38" s="2"/>
      <c r="L38" s="88"/>
    </row>
    <row r="39" spans="1:12" x14ac:dyDescent="0.2">
      <c r="A39" s="62" t="str">
        <f t="shared" si="0"/>
        <v>2005</v>
      </c>
      <c r="B39" s="62"/>
      <c r="C39" s="31">
        <f>'4.2'!E39</f>
        <v>154981</v>
      </c>
      <c r="D39" s="128">
        <f>'4.4'!G38</f>
        <v>20235</v>
      </c>
      <c r="E39" s="39">
        <f t="shared" si="1"/>
        <v>0.13100000000000001</v>
      </c>
      <c r="F39" s="27" t="s">
        <v>81</v>
      </c>
      <c r="K39" s="2"/>
    </row>
    <row r="40" spans="1:12" x14ac:dyDescent="0.2">
      <c r="A40" s="62" t="str">
        <f t="shared" si="0"/>
        <v>2006</v>
      </c>
      <c r="B40" s="62"/>
      <c r="C40" s="31">
        <f>'4.2'!E40</f>
        <v>4276</v>
      </c>
      <c r="D40" s="128">
        <f>'4.4'!G39</f>
        <v>1110</v>
      </c>
      <c r="E40" s="39">
        <f t="shared" si="1"/>
        <v>0.26</v>
      </c>
      <c r="F40" s="27"/>
      <c r="K40" s="2"/>
    </row>
    <row r="41" spans="1:12" x14ac:dyDescent="0.2">
      <c r="A41" s="62" t="str">
        <f t="shared" si="0"/>
        <v>2007</v>
      </c>
      <c r="B41" s="62"/>
      <c r="C41" s="31">
        <f>'4.2'!E41</f>
        <v>15745</v>
      </c>
      <c r="D41" s="128">
        <f>'4.4'!G40</f>
        <v>4941</v>
      </c>
      <c r="E41" s="39">
        <f t="shared" si="1"/>
        <v>0.314</v>
      </c>
      <c r="F41" s="27" t="s">
        <v>81</v>
      </c>
      <c r="K41" s="2"/>
    </row>
    <row r="42" spans="1:12" x14ac:dyDescent="0.2">
      <c r="A42" s="62" t="str">
        <f t="shared" si="0"/>
        <v>2008</v>
      </c>
      <c r="B42" s="22"/>
      <c r="C42" s="31">
        <f>'4.2'!E42</f>
        <v>2583017</v>
      </c>
      <c r="D42" s="128">
        <f>'4.4'!G41</f>
        <v>346615</v>
      </c>
      <c r="E42" s="39">
        <f>ROUND(D42/C42,3)</f>
        <v>0.13400000000000001</v>
      </c>
      <c r="F42" s="38" t="s">
        <v>81</v>
      </c>
      <c r="K42" s="2"/>
    </row>
    <row r="43" spans="1:12" x14ac:dyDescent="0.2">
      <c r="A43" s="62" t="str">
        <f t="shared" si="0"/>
        <v>2009</v>
      </c>
      <c r="B43" s="22"/>
      <c r="C43" s="31">
        <f>'4.2'!E43</f>
        <v>10407</v>
      </c>
      <c r="D43" s="128">
        <f>'4.4'!G42</f>
        <v>2219</v>
      </c>
      <c r="E43" s="39">
        <f t="shared" si="1"/>
        <v>0.21299999999999999</v>
      </c>
      <c r="F43" s="27"/>
      <c r="K43" s="2"/>
    </row>
    <row r="44" spans="1:12" x14ac:dyDescent="0.2">
      <c r="A44" s="62" t="str">
        <f t="shared" si="0"/>
        <v>2010</v>
      </c>
      <c r="B44" s="22"/>
      <c r="C44" s="31">
        <f>'4.2'!E44</f>
        <v>18030</v>
      </c>
      <c r="D44" s="128">
        <f>'4.4'!G43</f>
        <v>4281</v>
      </c>
      <c r="E44" s="39">
        <f t="shared" ref="E44:E49" si="2">ROUND(D44/C44,3)</f>
        <v>0.23699999999999999</v>
      </c>
      <c r="F44" s="38"/>
      <c r="K44" s="2"/>
    </row>
    <row r="45" spans="1:12" x14ac:dyDescent="0.2">
      <c r="A45" s="62" t="str">
        <f t="shared" si="0"/>
        <v>2011</v>
      </c>
      <c r="B45" s="22"/>
      <c r="C45" s="31">
        <f>'4.2'!E45</f>
        <v>96290</v>
      </c>
      <c r="D45" s="128">
        <f>'4.4'!G44</f>
        <v>15170</v>
      </c>
      <c r="E45" s="39">
        <f t="shared" si="2"/>
        <v>0.158</v>
      </c>
      <c r="F45" s="38"/>
      <c r="K45" s="2"/>
    </row>
    <row r="46" spans="1:12" x14ac:dyDescent="0.2">
      <c r="A46" s="45" t="str">
        <f t="shared" si="0"/>
        <v>2012</v>
      </c>
      <c r="B46" s="110"/>
      <c r="C46" s="31">
        <f>'4.2'!E46</f>
        <v>67586</v>
      </c>
      <c r="D46" s="128">
        <f>'4.4'!G45</f>
        <v>15858</v>
      </c>
      <c r="E46" s="167">
        <f t="shared" si="2"/>
        <v>0.23499999999999999</v>
      </c>
      <c r="F46" s="47"/>
      <c r="G46" s="50"/>
      <c r="K46" s="2"/>
    </row>
    <row r="47" spans="1:12" x14ac:dyDescent="0.2">
      <c r="A47" s="45" t="str">
        <f t="shared" si="0"/>
        <v>2013</v>
      </c>
      <c r="B47" s="110"/>
      <c r="C47" s="31">
        <f>'4.2'!E47</f>
        <v>70855</v>
      </c>
      <c r="D47" s="128">
        <f>'4.4'!G46</f>
        <v>13910</v>
      </c>
      <c r="E47" s="167">
        <f t="shared" si="2"/>
        <v>0.19600000000000001</v>
      </c>
      <c r="F47" s="47"/>
      <c r="G47" s="50"/>
      <c r="K47" s="2"/>
    </row>
    <row r="48" spans="1:12" x14ac:dyDescent="0.2">
      <c r="A48" s="45" t="str">
        <f t="shared" si="0"/>
        <v>2014</v>
      </c>
      <c r="B48" s="110"/>
      <c r="C48" s="31">
        <f>'4.2'!E48</f>
        <v>7047</v>
      </c>
      <c r="D48" s="128">
        <f>'4.4'!G47</f>
        <v>6892</v>
      </c>
      <c r="E48" s="167">
        <f t="shared" si="2"/>
        <v>0.97799999999999998</v>
      </c>
      <c r="F48" s="47"/>
      <c r="G48" s="50"/>
      <c r="K48" s="2"/>
    </row>
    <row r="49" spans="1:13" x14ac:dyDescent="0.2">
      <c r="A49" s="45" t="str">
        <f t="shared" si="0"/>
        <v>2015</v>
      </c>
      <c r="B49" s="110"/>
      <c r="C49" s="31">
        <f>'4.2'!E49</f>
        <v>137960</v>
      </c>
      <c r="D49" s="128">
        <f>'4.4'!G48</f>
        <v>39988</v>
      </c>
      <c r="E49" s="167">
        <f t="shared" si="2"/>
        <v>0.28999999999999998</v>
      </c>
      <c r="F49" s="47"/>
      <c r="G49" s="50"/>
      <c r="K49" s="2"/>
      <c r="L49" s="52"/>
      <c r="M49" s="88"/>
    </row>
    <row r="50" spans="1:13" x14ac:dyDescent="0.2">
      <c r="A50" s="45" t="str">
        <f t="shared" si="0"/>
        <v>2016</v>
      </c>
      <c r="B50" s="110"/>
      <c r="C50" s="31">
        <f>'4.2'!E50</f>
        <v>28417</v>
      </c>
      <c r="D50" s="128">
        <f>'4.4'!G49</f>
        <v>15797</v>
      </c>
      <c r="E50" s="167">
        <f>ROUND(D50/C50,3)</f>
        <v>0.55600000000000005</v>
      </c>
      <c r="F50" s="47"/>
      <c r="G50" s="50"/>
      <c r="K50" s="2"/>
      <c r="L50" s="52"/>
      <c r="M50" s="88"/>
    </row>
    <row r="51" spans="1:13" x14ac:dyDescent="0.2">
      <c r="A51" s="45" t="str">
        <f t="shared" si="0"/>
        <v>2017</v>
      </c>
      <c r="B51" s="110"/>
      <c r="C51" s="128">
        <f>'4.2'!E51</f>
        <v>1374571.7757825346</v>
      </c>
      <c r="D51" s="128">
        <f>'4.4'!G50</f>
        <v>274654</v>
      </c>
      <c r="E51" s="167">
        <f>ROUND(D51/C51,3)</f>
        <v>0.2</v>
      </c>
      <c r="F51" s="47" t="s">
        <v>81</v>
      </c>
      <c r="K51" s="2"/>
    </row>
    <row r="52" spans="1:13" x14ac:dyDescent="0.2">
      <c r="A52" s="190" t="str">
        <f t="shared" si="0"/>
        <v>2018</v>
      </c>
      <c r="B52" s="299"/>
      <c r="C52" s="32">
        <f>'4.2'!E52</f>
        <v>13184</v>
      </c>
      <c r="D52" s="32">
        <f>'4.4'!G51</f>
        <v>6424</v>
      </c>
      <c r="E52" s="40">
        <f>ROUND(D52/C52,3)</f>
        <v>0.48699999999999999</v>
      </c>
      <c r="F52" s="70"/>
      <c r="K52" s="2"/>
    </row>
    <row r="53" spans="1:13" x14ac:dyDescent="0.2">
      <c r="K53" s="2"/>
    </row>
    <row r="54" spans="1:13" x14ac:dyDescent="0.2">
      <c r="A54" t="s">
        <v>83</v>
      </c>
      <c r="C54" s="19">
        <f>SUM(C14:C52)</f>
        <v>5005872.7757825349</v>
      </c>
      <c r="D54" s="19">
        <f>SUM(D14:D52)</f>
        <v>814636</v>
      </c>
      <c r="E54" s="39">
        <f>ROUND(D54/C54,3)</f>
        <v>0.16300000000000001</v>
      </c>
      <c r="F54" s="19"/>
      <c r="K54" s="2"/>
    </row>
    <row r="55" spans="1:13" x14ac:dyDescent="0.2">
      <c r="K55" s="2"/>
    </row>
    <row r="56" spans="1:13" x14ac:dyDescent="0.2">
      <c r="A56" t="s">
        <v>82</v>
      </c>
      <c r="C56" s="19">
        <f>SUMIF($F$14:$F$52,"H",C$14:C$52)</f>
        <v>4467175.7757825349</v>
      </c>
      <c r="D56" s="19">
        <f>SUMIF($F$14:$F$52,"H",D$14:D$52)</f>
        <v>668433</v>
      </c>
      <c r="E56" s="39">
        <f>ROUND(D56/C56,3)</f>
        <v>0.15</v>
      </c>
      <c r="K56" s="2"/>
    </row>
    <row r="57" spans="1:13" x14ac:dyDescent="0.2">
      <c r="K57" s="2"/>
    </row>
    <row r="58" spans="1:13" x14ac:dyDescent="0.2">
      <c r="A58" t="s">
        <v>84</v>
      </c>
      <c r="K58" s="2"/>
    </row>
    <row r="59" spans="1:13" x14ac:dyDescent="0.2">
      <c r="B59" t="s">
        <v>9</v>
      </c>
      <c r="C59" s="19">
        <f>C54-C56</f>
        <v>538697</v>
      </c>
      <c r="D59" s="19">
        <f>D54-D56</f>
        <v>146203</v>
      </c>
      <c r="E59" s="39">
        <f>ROUND(D59/C59,3)</f>
        <v>0.27100000000000002</v>
      </c>
      <c r="K59" s="2"/>
    </row>
    <row r="60" spans="1:13" x14ac:dyDescent="0.2">
      <c r="B60" t="s">
        <v>85</v>
      </c>
      <c r="C60" s="19">
        <f>SUMIF($F$40:$F$52,"&lt;&gt;H",C$40:C$52)</f>
        <v>454052</v>
      </c>
      <c r="D60" s="19">
        <f>SUMIF($F$40:$F$52,"&lt;&gt;H",D$40:D$52)</f>
        <v>121649</v>
      </c>
      <c r="E60" s="39">
        <f>ROUND(D60/C60,3)</f>
        <v>0.26800000000000002</v>
      </c>
      <c r="K60" s="2"/>
    </row>
    <row r="61" spans="1:13" ht="12" thickBot="1" x14ac:dyDescent="0.25">
      <c r="A61" s="6"/>
      <c r="B61" s="6"/>
      <c r="C61" s="6"/>
      <c r="D61" s="6"/>
      <c r="E61" s="6"/>
      <c r="F61" s="6"/>
      <c r="K61" s="2"/>
    </row>
    <row r="62" spans="1:13" ht="12" thickTop="1" x14ac:dyDescent="0.2">
      <c r="K62" s="2"/>
    </row>
    <row r="63" spans="1:13" x14ac:dyDescent="0.2">
      <c r="A63" t="s">
        <v>18</v>
      </c>
      <c r="K63" s="2"/>
    </row>
    <row r="64" spans="1:13" x14ac:dyDescent="0.2">
      <c r="B64" s="22" t="str">
        <f>C12&amp;" "&amp;'4.2'!$K$1&amp;", "&amp;'4.2'!$K$2</f>
        <v>(2) Exhibit 4, Sheet 2</v>
      </c>
      <c r="D64" s="22"/>
      <c r="K64" s="2"/>
    </row>
    <row r="65" spans="1:11" x14ac:dyDescent="0.2">
      <c r="B65" s="22" t="str">
        <f>D12&amp;" "&amp;'4.4'!$J$1&amp;", "&amp;'4.4'!$J$2</f>
        <v>(3) Exhibit 4, Sheet 4</v>
      </c>
      <c r="K65" s="2"/>
    </row>
    <row r="66" spans="1:11" x14ac:dyDescent="0.2">
      <c r="B66" s="22" t="str">
        <f>E12&amp;" = "&amp;D12&amp;" / "&amp;C12</f>
        <v>(4) = (3) / (2)</v>
      </c>
      <c r="K66" s="2"/>
    </row>
    <row r="67" spans="1:11" x14ac:dyDescent="0.2">
      <c r="B67" s="22" t="str">
        <f>F12&amp;" ""H"" indicates hurricane year"</f>
        <v>(5) "H" indicates hurricane year</v>
      </c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M71"/>
  <sheetViews>
    <sheetView zoomScaleNormal="100" workbookViewId="0">
      <selection activeCell="D35" sqref="D35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76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87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45"/>
      <c r="L7" s="2"/>
    </row>
    <row r="8" spans="1:13" ht="12" thickTop="1" x14ac:dyDescent="0.2">
      <c r="F8" s="45"/>
      <c r="L8" s="2"/>
    </row>
    <row r="9" spans="1:13" x14ac:dyDescent="0.2">
      <c r="C9" s="22" t="s">
        <v>88</v>
      </c>
      <c r="E9" t="s">
        <v>13</v>
      </c>
      <c r="F9" s="45"/>
      <c r="L9" s="2"/>
      <c r="M9" s="27"/>
    </row>
    <row r="10" spans="1:13" x14ac:dyDescent="0.2">
      <c r="A10" t="s">
        <v>54</v>
      </c>
      <c r="C10" t="s">
        <v>42</v>
      </c>
      <c r="D10" t="s">
        <v>57</v>
      </c>
      <c r="E10" t="s">
        <v>36</v>
      </c>
      <c r="F10" s="45"/>
      <c r="L10" s="2"/>
      <c r="M10" t="s">
        <v>222</v>
      </c>
    </row>
    <row r="11" spans="1:13" x14ac:dyDescent="0.2">
      <c r="A11" s="9" t="s">
        <v>55</v>
      </c>
      <c r="B11" s="9"/>
      <c r="C11" s="9" t="str">
        <f>"at "&amp;TEXT($M$11,"m/d/yy")</f>
        <v>at 12/31/18</v>
      </c>
      <c r="D11" s="9" t="s">
        <v>38</v>
      </c>
      <c r="E11" s="9" t="s">
        <v>42</v>
      </c>
      <c r="F11" s="45"/>
      <c r="L11" s="2"/>
      <c r="M11" s="52">
        <f>'2.1'!$L$9</f>
        <v>43465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L12" s="2"/>
    </row>
    <row r="13" spans="1:13" x14ac:dyDescent="0.2">
      <c r="A13" s="13"/>
      <c r="B13" s="13"/>
      <c r="C13" s="11"/>
      <c r="D13" s="11"/>
      <c r="E13" s="11"/>
      <c r="F13" s="46"/>
      <c r="L13" s="2"/>
    </row>
    <row r="14" spans="1:13" x14ac:dyDescent="0.2">
      <c r="A14" s="298">
        <v>1980</v>
      </c>
      <c r="E14" s="84">
        <f>'[3]4.2'!$E14</f>
        <v>12911</v>
      </c>
      <c r="F14" s="45"/>
      <c r="L14" s="2"/>
    </row>
    <row r="15" spans="1:13" x14ac:dyDescent="0.2">
      <c r="A15" s="62" t="str">
        <f t="shared" ref="A15:A52" si="0">TEXT(A14+1,"#")</f>
        <v>1981</v>
      </c>
      <c r="B15" s="25"/>
      <c r="C15" s="31"/>
      <c r="D15" s="31"/>
      <c r="E15" s="84">
        <f>'[3]4.2'!$E15</f>
        <v>2512</v>
      </c>
      <c r="F15" s="47"/>
      <c r="L15" s="2"/>
    </row>
    <row r="16" spans="1:13" x14ac:dyDescent="0.2">
      <c r="A16" s="62" t="str">
        <f t="shared" si="0"/>
        <v>1982</v>
      </c>
      <c r="B16" s="25"/>
      <c r="C16" s="31"/>
      <c r="D16" s="31"/>
      <c r="E16" s="84">
        <f>'[3]4.2'!$E16</f>
        <v>796</v>
      </c>
      <c r="F16" s="47"/>
      <c r="L16" s="2"/>
    </row>
    <row r="17" spans="1:12" x14ac:dyDescent="0.2">
      <c r="A17" s="62" t="str">
        <f t="shared" si="0"/>
        <v>1983</v>
      </c>
      <c r="B17" s="25"/>
      <c r="C17" s="31"/>
      <c r="D17" s="31"/>
      <c r="E17" s="84">
        <f>'[3]4.2'!$E17</f>
        <v>148999</v>
      </c>
      <c r="F17" s="47"/>
      <c r="L17" s="2"/>
    </row>
    <row r="18" spans="1:12" x14ac:dyDescent="0.2">
      <c r="A18" s="62" t="str">
        <f t="shared" si="0"/>
        <v>1984</v>
      </c>
      <c r="B18" s="25"/>
      <c r="C18" s="31"/>
      <c r="D18" s="31"/>
      <c r="E18" s="84">
        <f>'[3]4.2'!$E18</f>
        <v>999</v>
      </c>
      <c r="F18" s="47"/>
      <c r="L18" s="2"/>
    </row>
    <row r="19" spans="1:12" x14ac:dyDescent="0.2">
      <c r="A19" s="62" t="str">
        <f t="shared" si="0"/>
        <v>1985</v>
      </c>
      <c r="B19" s="25"/>
      <c r="C19" s="31"/>
      <c r="D19" s="31"/>
      <c r="E19" s="84">
        <f>'[3]4.2'!$E19</f>
        <v>512</v>
      </c>
      <c r="F19" s="47"/>
      <c r="L19" s="2"/>
    </row>
    <row r="20" spans="1:12" x14ac:dyDescent="0.2">
      <c r="A20" s="62" t="str">
        <f t="shared" si="0"/>
        <v>1986</v>
      </c>
      <c r="B20" s="25"/>
      <c r="C20" s="31"/>
      <c r="D20" s="31"/>
      <c r="E20" s="84">
        <f>'[3]4.2'!$E20</f>
        <v>881</v>
      </c>
      <c r="F20" s="47"/>
      <c r="L20" s="2"/>
    </row>
    <row r="21" spans="1:12" x14ac:dyDescent="0.2">
      <c r="A21" s="62" t="str">
        <f t="shared" si="0"/>
        <v>1987</v>
      </c>
      <c r="B21" s="25"/>
      <c r="C21" s="31"/>
      <c r="D21" s="31"/>
      <c r="E21" s="84">
        <f>'[3]4.2'!$E21</f>
        <v>1897</v>
      </c>
      <c r="F21" s="47"/>
      <c r="L21" s="2"/>
    </row>
    <row r="22" spans="1:12" x14ac:dyDescent="0.2">
      <c r="A22" s="62" t="str">
        <f t="shared" si="0"/>
        <v>1988</v>
      </c>
      <c r="B22" s="25"/>
      <c r="C22" s="31"/>
      <c r="D22" s="31"/>
      <c r="E22" s="84">
        <f>'[3]4.2'!$E22</f>
        <v>1160</v>
      </c>
      <c r="F22" s="47"/>
      <c r="L22" s="2"/>
    </row>
    <row r="23" spans="1:12" x14ac:dyDescent="0.2">
      <c r="A23" s="62" t="str">
        <f t="shared" si="0"/>
        <v>1989</v>
      </c>
      <c r="C23" s="31"/>
      <c r="D23" s="31"/>
      <c r="E23" s="84">
        <f>'[3]4.2'!$E23</f>
        <v>12296</v>
      </c>
      <c r="F23" s="48"/>
      <c r="L23" s="2"/>
    </row>
    <row r="24" spans="1:12" x14ac:dyDescent="0.2">
      <c r="A24" s="62" t="str">
        <f t="shared" si="0"/>
        <v>1990</v>
      </c>
      <c r="C24" s="31"/>
      <c r="D24" s="31"/>
      <c r="E24" s="84">
        <f>'[3]4.2'!$E24</f>
        <v>335</v>
      </c>
      <c r="F24" s="48"/>
      <c r="L24" s="2"/>
    </row>
    <row r="25" spans="1:12" x14ac:dyDescent="0.2">
      <c r="A25" s="62" t="str">
        <f t="shared" si="0"/>
        <v>1991</v>
      </c>
      <c r="C25" s="31"/>
      <c r="D25" s="31"/>
      <c r="E25" s="84">
        <f>'[3]4.2'!$E25</f>
        <v>1217</v>
      </c>
      <c r="F25" s="48"/>
      <c r="L25" s="2"/>
    </row>
    <row r="26" spans="1:12" x14ac:dyDescent="0.2">
      <c r="A26" s="62" t="str">
        <f t="shared" si="0"/>
        <v>1992</v>
      </c>
      <c r="C26" s="31"/>
      <c r="D26" s="31"/>
      <c r="E26" s="84">
        <f>'[3]4.2'!$E26</f>
        <v>489</v>
      </c>
      <c r="F26" s="48"/>
      <c r="L26" s="2"/>
    </row>
    <row r="27" spans="1:12" x14ac:dyDescent="0.2">
      <c r="A27" s="62" t="str">
        <f t="shared" si="0"/>
        <v>1993</v>
      </c>
      <c r="C27" s="31"/>
      <c r="D27" s="31"/>
      <c r="E27" s="84">
        <f>'[3]4.2'!$E27</f>
        <v>3375</v>
      </c>
      <c r="F27" s="48"/>
      <c r="L27" s="2"/>
    </row>
    <row r="28" spans="1:12" x14ac:dyDescent="0.2">
      <c r="A28" s="62" t="str">
        <f t="shared" si="0"/>
        <v>1994</v>
      </c>
      <c r="C28" s="31"/>
      <c r="D28" s="31"/>
      <c r="E28" s="84">
        <f>'[3]4.2'!$E28</f>
        <v>679</v>
      </c>
      <c r="F28" s="48"/>
      <c r="L28" s="2"/>
    </row>
    <row r="29" spans="1:12" x14ac:dyDescent="0.2">
      <c r="A29" s="62" t="str">
        <f t="shared" si="0"/>
        <v>1995</v>
      </c>
      <c r="C29" s="31"/>
      <c r="D29" s="31"/>
      <c r="E29" s="84">
        <f>'[3]4.2'!$E29</f>
        <v>2977</v>
      </c>
      <c r="F29" s="48"/>
      <c r="L29" s="2"/>
    </row>
    <row r="30" spans="1:12" x14ac:dyDescent="0.2">
      <c r="A30" s="62" t="str">
        <f t="shared" si="0"/>
        <v>1996</v>
      </c>
      <c r="C30" s="31"/>
      <c r="D30" s="31"/>
      <c r="E30" s="84">
        <f>'[3]4.2'!$E30</f>
        <v>1166</v>
      </c>
      <c r="F30" s="48"/>
      <c r="L30" s="2"/>
    </row>
    <row r="31" spans="1:12" x14ac:dyDescent="0.2">
      <c r="A31" s="62" t="str">
        <f t="shared" si="0"/>
        <v>1997</v>
      </c>
      <c r="C31" s="31"/>
      <c r="D31" s="31"/>
      <c r="E31" s="84">
        <f>'[3]4.2'!$E31</f>
        <v>2964</v>
      </c>
      <c r="F31" s="48"/>
      <c r="L31" s="2"/>
    </row>
    <row r="32" spans="1:12" x14ac:dyDescent="0.2">
      <c r="A32" s="62" t="str">
        <f t="shared" si="0"/>
        <v>1998</v>
      </c>
      <c r="B32" s="22"/>
      <c r="C32" s="31"/>
      <c r="D32" s="31"/>
      <c r="E32" s="84">
        <f>'[3]4.2'!$E32</f>
        <v>22401</v>
      </c>
      <c r="F32" s="48"/>
      <c r="L32" s="2"/>
    </row>
    <row r="33" spans="1:12" x14ac:dyDescent="0.2">
      <c r="A33" s="62" t="str">
        <f t="shared" si="0"/>
        <v>1999</v>
      </c>
      <c r="C33" s="19"/>
      <c r="E33" s="84">
        <f>'[3]4.2'!$E33</f>
        <v>8773</v>
      </c>
      <c r="F33" s="48"/>
      <c r="L33" s="2"/>
    </row>
    <row r="34" spans="1:12" x14ac:dyDescent="0.2">
      <c r="A34" s="62" t="str">
        <f t="shared" si="0"/>
        <v>2000</v>
      </c>
      <c r="B34" s="22"/>
      <c r="C34" s="31"/>
      <c r="D34" s="31"/>
      <c r="E34" s="84">
        <f>'[3]4.2'!$E34</f>
        <v>6227</v>
      </c>
      <c r="F34" s="48"/>
      <c r="L34" s="2"/>
    </row>
    <row r="35" spans="1:12" x14ac:dyDescent="0.2">
      <c r="A35" s="62" t="str">
        <f t="shared" si="0"/>
        <v>2001</v>
      </c>
      <c r="B35" s="22"/>
      <c r="C35" s="31"/>
      <c r="D35" s="39"/>
      <c r="E35" s="84">
        <f>'[3]4.2'!$E35</f>
        <v>24605</v>
      </c>
      <c r="F35" s="48"/>
      <c r="L35" s="2"/>
    </row>
    <row r="36" spans="1:12" x14ac:dyDescent="0.2">
      <c r="A36" s="62" t="str">
        <f t="shared" si="0"/>
        <v>2002</v>
      </c>
      <c r="C36" s="31"/>
      <c r="D36" s="39"/>
      <c r="E36" s="84">
        <f>'[3]4.2'!$E36</f>
        <v>5167</v>
      </c>
      <c r="F36" s="48"/>
      <c r="L36" s="2"/>
    </row>
    <row r="37" spans="1:12" x14ac:dyDescent="0.2">
      <c r="A37" s="62" t="str">
        <f t="shared" si="0"/>
        <v>2003</v>
      </c>
      <c r="C37" s="84"/>
      <c r="D37" s="127"/>
      <c r="E37" s="84">
        <f>'[3]4.2'!$E37</f>
        <v>155001</v>
      </c>
      <c r="F37" s="48"/>
      <c r="L37" s="2"/>
    </row>
    <row r="38" spans="1:12" x14ac:dyDescent="0.2">
      <c r="A38" s="62" t="str">
        <f t="shared" si="0"/>
        <v>2004</v>
      </c>
      <c r="C38" s="84"/>
      <c r="D38" s="127"/>
      <c r="E38" s="84">
        <f>'[3]4.2'!$E38</f>
        <v>5167</v>
      </c>
      <c r="F38" s="48"/>
      <c r="L38" s="2"/>
    </row>
    <row r="39" spans="1:12" x14ac:dyDescent="0.2">
      <c r="A39" s="62" t="str">
        <f t="shared" si="0"/>
        <v>2005</v>
      </c>
      <c r="C39" s="84"/>
      <c r="D39" s="127"/>
      <c r="E39" s="84">
        <f>'[3]4.2'!$E39</f>
        <v>154981</v>
      </c>
      <c r="F39" s="47"/>
      <c r="L39" s="2"/>
    </row>
    <row r="40" spans="1:12" x14ac:dyDescent="0.2">
      <c r="A40" s="62" t="str">
        <f t="shared" si="0"/>
        <v>2006</v>
      </c>
      <c r="C40" s="84"/>
      <c r="D40" s="127"/>
      <c r="E40" s="84">
        <f>'[3]4.2'!$E40</f>
        <v>4276</v>
      </c>
      <c r="F40" s="45"/>
      <c r="L40" s="2"/>
    </row>
    <row r="41" spans="1:12" x14ac:dyDescent="0.2">
      <c r="A41" s="62" t="str">
        <f t="shared" si="0"/>
        <v>2007</v>
      </c>
      <c r="C41" s="84"/>
      <c r="D41" s="127"/>
      <c r="E41" s="84">
        <f>'[3]4.2'!$E41</f>
        <v>15745</v>
      </c>
      <c r="F41" s="45"/>
      <c r="L41" s="2"/>
    </row>
    <row r="42" spans="1:12" x14ac:dyDescent="0.2">
      <c r="A42" s="62" t="str">
        <f t="shared" si="0"/>
        <v>2008</v>
      </c>
      <c r="B42" s="51"/>
      <c r="C42" s="84"/>
      <c r="D42" s="127"/>
      <c r="E42" s="84">
        <f>'[3]4.2'!$E42</f>
        <v>2583017</v>
      </c>
      <c r="F42" s="45"/>
      <c r="H42" s="84"/>
      <c r="L42" s="2"/>
    </row>
    <row r="43" spans="1:12" x14ac:dyDescent="0.2">
      <c r="A43" s="62" t="str">
        <f t="shared" si="0"/>
        <v>2009</v>
      </c>
      <c r="C43" s="84"/>
      <c r="D43" s="127"/>
      <c r="E43" s="84">
        <f>'[3]4.2'!$E43</f>
        <v>10407</v>
      </c>
      <c r="F43" s="49"/>
      <c r="H43" s="84"/>
      <c r="L43" s="2"/>
    </row>
    <row r="44" spans="1:12" x14ac:dyDescent="0.2">
      <c r="A44" s="62" t="str">
        <f t="shared" si="0"/>
        <v>2010</v>
      </c>
      <c r="C44" s="84"/>
      <c r="D44" s="127"/>
      <c r="E44" s="84">
        <f>'[3]4.2'!$E44</f>
        <v>18030</v>
      </c>
      <c r="F44" s="45"/>
      <c r="H44" s="84"/>
      <c r="L44" s="2"/>
    </row>
    <row r="45" spans="1:12" x14ac:dyDescent="0.2">
      <c r="A45" s="62" t="str">
        <f t="shared" si="0"/>
        <v>2011</v>
      </c>
      <c r="B45" s="51"/>
      <c r="C45" s="84">
        <f>'[3]4.2'!C45</f>
        <v>96290</v>
      </c>
      <c r="D45" s="127">
        <f>'[3]4.2'!D45</f>
        <v>1</v>
      </c>
      <c r="E45" s="84">
        <f>'[3]4.2'!$E45</f>
        <v>96290</v>
      </c>
      <c r="F45" s="45"/>
      <c r="H45" s="84"/>
      <c r="L45" s="2"/>
    </row>
    <row r="46" spans="1:12" x14ac:dyDescent="0.2">
      <c r="A46" s="62" t="str">
        <f t="shared" si="0"/>
        <v>2012</v>
      </c>
      <c r="C46" s="84">
        <f>'[3]4.2'!C46</f>
        <v>67586</v>
      </c>
      <c r="D46" s="127">
        <f>'[3]4.2'!D46</f>
        <v>1</v>
      </c>
      <c r="E46" s="84">
        <f>'[3]4.2'!$E46</f>
        <v>67586</v>
      </c>
      <c r="F46" s="45"/>
      <c r="L46" s="2"/>
    </row>
    <row r="47" spans="1:12" x14ac:dyDescent="0.2">
      <c r="A47" s="62" t="str">
        <f t="shared" si="0"/>
        <v>2013</v>
      </c>
      <c r="C47" s="84">
        <f>'[3]4.2'!C47</f>
        <v>71068</v>
      </c>
      <c r="D47" s="127">
        <f>'[3]4.2'!D47</f>
        <v>0.997</v>
      </c>
      <c r="E47" s="84">
        <f>'[3]4.2'!$E47</f>
        <v>70855</v>
      </c>
      <c r="L47" s="2"/>
    </row>
    <row r="48" spans="1:12" x14ac:dyDescent="0.2">
      <c r="A48" s="62" t="str">
        <f t="shared" si="0"/>
        <v>2014</v>
      </c>
      <c r="C48" s="84">
        <f>'[3]4.2'!C48</f>
        <v>7068</v>
      </c>
      <c r="D48" s="127">
        <f>'[3]4.2'!D48</f>
        <v>0.997</v>
      </c>
      <c r="E48" s="84">
        <f>'[3]4.2'!$E48</f>
        <v>7047</v>
      </c>
      <c r="L48" s="2"/>
    </row>
    <row r="49" spans="1:12" x14ac:dyDescent="0.2">
      <c r="A49" s="62" t="str">
        <f t="shared" si="0"/>
        <v>2015</v>
      </c>
      <c r="C49" s="84">
        <f>'[3]4.2'!C49</f>
        <v>139777</v>
      </c>
      <c r="D49" s="127">
        <f>'[3]4.2'!D49</f>
        <v>0.98699999999999999</v>
      </c>
      <c r="E49" s="84">
        <f>'[3]4.2'!$E49</f>
        <v>137960</v>
      </c>
      <c r="L49" s="2"/>
    </row>
    <row r="50" spans="1:12" x14ac:dyDescent="0.2">
      <c r="A50" s="45" t="str">
        <f t="shared" si="0"/>
        <v>2016</v>
      </c>
      <c r="B50" s="50"/>
      <c r="C50" s="106">
        <f>'[3]4.2'!C50</f>
        <v>28908</v>
      </c>
      <c r="D50" s="169">
        <f>'[3]4.2'!D50</f>
        <v>0.98299999999999998</v>
      </c>
      <c r="E50" s="106">
        <f>'[3]4.2'!$E50</f>
        <v>28417</v>
      </c>
      <c r="F50" s="45"/>
      <c r="L50" s="2"/>
    </row>
    <row r="51" spans="1:12" x14ac:dyDescent="0.2">
      <c r="A51" s="45" t="str">
        <f t="shared" si="0"/>
        <v>2017</v>
      </c>
      <c r="B51" s="50"/>
      <c r="C51" s="106">
        <f>'[3]4.2'!C51</f>
        <v>1373877</v>
      </c>
      <c r="D51" s="169">
        <f>'[3]4.2'!D51</f>
        <v>1.0005057045008647</v>
      </c>
      <c r="E51" s="106">
        <f>'[3]4.2'!$E51</f>
        <v>1374571.7757825346</v>
      </c>
      <c r="F51" s="45"/>
      <c r="L51" s="2"/>
    </row>
    <row r="52" spans="1:12" ht="12" thickBot="1" x14ac:dyDescent="0.25">
      <c r="A52" s="297" t="str">
        <f t="shared" si="0"/>
        <v>2018</v>
      </c>
      <c r="B52" s="6"/>
      <c r="C52" s="234">
        <f>'[3]4.2'!C52</f>
        <v>13197</v>
      </c>
      <c r="D52" s="235">
        <f>'[3]4.2'!D52</f>
        <v>0.999</v>
      </c>
      <c r="E52" s="234">
        <f>'[3]4.2'!$E52</f>
        <v>13184</v>
      </c>
      <c r="F52" s="45"/>
      <c r="L52" s="2"/>
    </row>
    <row r="53" spans="1:12" ht="12" thickTop="1" x14ac:dyDescent="0.2">
      <c r="C53" s="19"/>
      <c r="D53" s="19"/>
      <c r="E53" s="39"/>
      <c r="F53" s="45"/>
      <c r="L53" s="2"/>
    </row>
    <row r="54" spans="1:12" x14ac:dyDescent="0.2">
      <c r="A54" t="s">
        <v>18</v>
      </c>
      <c r="L54" s="2"/>
    </row>
    <row r="55" spans="1:12" x14ac:dyDescent="0.2">
      <c r="B55" s="22" t="str">
        <f>C12&amp;" "&amp;'4.3AS loss Dev'!$K$1&amp;", "&amp;'4.3AS loss Dev'!$K$2</f>
        <v>(2) Exhibit 4, Sheet 3</v>
      </c>
      <c r="D55" s="22"/>
      <c r="L55" s="2"/>
    </row>
    <row r="56" spans="1:12" x14ac:dyDescent="0.2">
      <c r="B56" s="22" t="str">
        <f>D12&amp;" "&amp;'4.3AS loss Dev'!$K$1&amp;", "&amp;'4.3AS loss Dev'!$K$2</f>
        <v>(3) Exhibit 4, Sheet 3</v>
      </c>
      <c r="L56" s="2"/>
    </row>
    <row r="57" spans="1:12" x14ac:dyDescent="0.2">
      <c r="B57" s="22" t="str">
        <f>E12&amp;" "&amp;A45&amp;" - "&amp;A52&amp;": "&amp;C12&amp;" * "&amp;D12&amp;"; "&amp;A14&amp;" - "&amp;A44&amp;": from prior TWIA annual statements"</f>
        <v>(4) 2011 - 2018: (2) * (3); 1980 - 2010: from prior TWIA annual statements</v>
      </c>
      <c r="C57" s="22"/>
      <c r="L57" s="2"/>
    </row>
    <row r="58" spans="1:12" x14ac:dyDescent="0.2">
      <c r="B58" s="22"/>
      <c r="L58" s="2"/>
    </row>
    <row r="59" spans="1:12" x14ac:dyDescent="0.2">
      <c r="C59" s="19"/>
      <c r="D59" s="19"/>
      <c r="E59" s="39"/>
      <c r="F59" s="45"/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M69"/>
  <sheetViews>
    <sheetView zoomScaleNormal="100" workbookViewId="0">
      <selection activeCell="J34" sqref="J34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J1" s="50"/>
      <c r="K1" s="7" t="s">
        <v>76</v>
      </c>
      <c r="L1" s="1"/>
    </row>
    <row r="2" spans="1:13" x14ac:dyDescent="0.2">
      <c r="A2" s="8" t="str">
        <f>'1'!$A$2</f>
        <v>Residential Property - Wind &amp; Hail</v>
      </c>
      <c r="B2" s="12"/>
      <c r="J2" s="50"/>
      <c r="K2" s="7" t="s">
        <v>89</v>
      </c>
      <c r="L2" s="2"/>
    </row>
    <row r="3" spans="1:13" x14ac:dyDescent="0.2">
      <c r="A3" s="8" t="str">
        <f>'1'!$A$3</f>
        <v>Rate Level Review</v>
      </c>
      <c r="B3" s="12"/>
      <c r="J3" s="50"/>
      <c r="L3" s="2"/>
    </row>
    <row r="4" spans="1:13" x14ac:dyDescent="0.2">
      <c r="A4" t="s">
        <v>90</v>
      </c>
      <c r="B4" s="12"/>
      <c r="J4" s="50"/>
      <c r="L4" s="2"/>
    </row>
    <row r="5" spans="1:13" x14ac:dyDescent="0.2">
      <c r="A5" t="s">
        <v>91</v>
      </c>
      <c r="B5" s="12"/>
      <c r="J5" s="50"/>
      <c r="L5" s="2"/>
    </row>
    <row r="6" spans="1:13" x14ac:dyDescent="0.2">
      <c r="J6" s="50"/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3" ht="12" thickTop="1" x14ac:dyDescent="0.2">
      <c r="J8" s="50"/>
      <c r="L8" s="2"/>
    </row>
    <row r="9" spans="1:13" x14ac:dyDescent="0.2">
      <c r="C9" s="24" t="s">
        <v>69</v>
      </c>
      <c r="J9" s="50"/>
      <c r="L9" s="2"/>
      <c r="M9" s="27"/>
    </row>
    <row r="10" spans="1:13" x14ac:dyDescent="0.2">
      <c r="A10" t="s">
        <v>54</v>
      </c>
      <c r="J10" s="50"/>
      <c r="L10" s="2"/>
      <c r="M10" t="s">
        <v>70</v>
      </c>
    </row>
    <row r="11" spans="1:13" x14ac:dyDescent="0.2">
      <c r="A11" s="9" t="s">
        <v>55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4">
        <f>'[3]4.3'!M11</f>
        <v>12</v>
      </c>
    </row>
    <row r="12" spans="1:13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20"/>
      <c r="L12" s="2"/>
    </row>
    <row r="13" spans="1:13" x14ac:dyDescent="0.2">
      <c r="J13" s="50"/>
      <c r="L13" s="2"/>
    </row>
    <row r="14" spans="1:13" x14ac:dyDescent="0.2">
      <c r="A14" t="str">
        <f t="shared" ref="A14:A22" si="2">TEXT(A15-1,"#")</f>
        <v>2009</v>
      </c>
      <c r="B14" s="25"/>
      <c r="C14" s="84">
        <f>'[3]4.3'!C14</f>
        <v>8267</v>
      </c>
      <c r="D14" s="84">
        <f>'[3]4.3'!D14</f>
        <v>10825</v>
      </c>
      <c r="E14" s="84">
        <f>'[3]4.3'!E14</f>
        <v>10581</v>
      </c>
      <c r="F14" s="84">
        <f>'[3]4.3'!F14</f>
        <v>10732</v>
      </c>
      <c r="G14" s="84">
        <f>'[3]4.3'!G14</f>
        <v>10453</v>
      </c>
      <c r="H14" s="84">
        <f>'[3]4.3'!H14</f>
        <v>10404</v>
      </c>
      <c r="I14" s="84">
        <f>'[3]4.3'!I14</f>
        <v>10407</v>
      </c>
      <c r="J14" s="106"/>
      <c r="L14" s="2"/>
    </row>
    <row r="15" spans="1:13" x14ac:dyDescent="0.2">
      <c r="A15" t="str">
        <f t="shared" si="2"/>
        <v>2010</v>
      </c>
      <c r="B15" s="25"/>
      <c r="C15" s="84">
        <f>'[3]4.3'!C15</f>
        <v>15215</v>
      </c>
      <c r="D15" s="84">
        <f>'[3]4.3'!D15</f>
        <v>18166</v>
      </c>
      <c r="E15" s="84">
        <f>'[3]4.3'!E15</f>
        <v>18173</v>
      </c>
      <c r="F15" s="84">
        <f>'[3]4.3'!F15</f>
        <v>18522</v>
      </c>
      <c r="G15" s="84">
        <f>'[3]4.3'!G15</f>
        <v>18361</v>
      </c>
      <c r="H15" s="84">
        <f>'[3]4.3'!H15</f>
        <v>18267</v>
      </c>
      <c r="I15" s="84">
        <f>'[3]4.3'!I15</f>
        <v>18030</v>
      </c>
      <c r="J15" s="106"/>
      <c r="L15" s="2"/>
    </row>
    <row r="16" spans="1:13" x14ac:dyDescent="0.2">
      <c r="A16" t="str">
        <f t="shared" si="2"/>
        <v>2011</v>
      </c>
      <c r="B16" s="25"/>
      <c r="C16" s="84">
        <f>'[3]4.3'!C16</f>
        <v>94870</v>
      </c>
      <c r="D16" s="84">
        <f>'[3]4.3'!D16</f>
        <v>96967</v>
      </c>
      <c r="E16" s="84">
        <f>'[3]4.3'!E16</f>
        <v>97503</v>
      </c>
      <c r="F16" s="84">
        <f>'[3]4.3'!F16</f>
        <v>96828</v>
      </c>
      <c r="G16" s="84">
        <f>'[3]4.3'!G16</f>
        <v>96263</v>
      </c>
      <c r="H16" s="84">
        <f>'[3]4.3'!H16</f>
        <v>95964</v>
      </c>
      <c r="I16" s="84">
        <f>'[3]4.3'!I16</f>
        <v>96290</v>
      </c>
      <c r="J16" s="106"/>
      <c r="L16" s="2"/>
    </row>
    <row r="17" spans="1:13" x14ac:dyDescent="0.2">
      <c r="A17" t="str">
        <f t="shared" si="2"/>
        <v>2012</v>
      </c>
      <c r="B17" s="25"/>
      <c r="C17" s="84">
        <f>'[3]4.3'!C17</f>
        <v>62722</v>
      </c>
      <c r="D17" s="84">
        <f>'[3]4.3'!D17</f>
        <v>69764</v>
      </c>
      <c r="E17" s="84">
        <f>'[3]4.3'!E17</f>
        <v>67287</v>
      </c>
      <c r="F17" s="84">
        <f>'[3]4.3'!F17</f>
        <v>66724</v>
      </c>
      <c r="G17" s="84">
        <f>'[3]4.3'!G17</f>
        <v>66328</v>
      </c>
      <c r="H17" s="84">
        <f>'[3]4.3'!H17</f>
        <v>67658</v>
      </c>
      <c r="I17" s="84">
        <f>'[3]4.3'!I17</f>
        <v>67586</v>
      </c>
      <c r="J17" s="106"/>
      <c r="L17" s="2"/>
    </row>
    <row r="18" spans="1:13" x14ac:dyDescent="0.2">
      <c r="A18" t="str">
        <f t="shared" si="2"/>
        <v>2013</v>
      </c>
      <c r="B18" s="25"/>
      <c r="C18" s="84">
        <f>'[3]4.3'!C18</f>
        <v>77204</v>
      </c>
      <c r="D18" s="84">
        <f>'[3]4.3'!D18</f>
        <v>75204</v>
      </c>
      <c r="E18" s="84">
        <f>'[3]4.3'!E18</f>
        <v>72860</v>
      </c>
      <c r="F18" s="84">
        <f>'[3]4.3'!F18</f>
        <v>71823</v>
      </c>
      <c r="G18" s="84">
        <f>'[3]4.3'!G18</f>
        <v>71286</v>
      </c>
      <c r="H18" s="84">
        <f>'[3]4.3'!H18</f>
        <v>71068</v>
      </c>
      <c r="I18" s="84"/>
      <c r="J18" s="106"/>
      <c r="L18" s="2"/>
    </row>
    <row r="19" spans="1:13" x14ac:dyDescent="0.2">
      <c r="A19" t="str">
        <f t="shared" si="2"/>
        <v>2014</v>
      </c>
      <c r="B19" s="25"/>
      <c r="C19" s="84">
        <f>'[3]4.3'!C19</f>
        <v>6739</v>
      </c>
      <c r="D19" s="84">
        <f>'[3]4.3'!D19</f>
        <v>7854</v>
      </c>
      <c r="E19" s="84">
        <f>'[3]4.3'!E19</f>
        <v>7298</v>
      </c>
      <c r="F19" s="84">
        <f>'[3]4.3'!F19</f>
        <v>7261</v>
      </c>
      <c r="G19" s="84">
        <f>'[3]4.3'!G19</f>
        <v>7068</v>
      </c>
      <c r="H19" s="84"/>
      <c r="I19" s="84"/>
      <c r="J19" s="106"/>
      <c r="L19" s="2"/>
    </row>
    <row r="20" spans="1:13" x14ac:dyDescent="0.2">
      <c r="A20" t="str">
        <f t="shared" si="2"/>
        <v>2015</v>
      </c>
      <c r="B20" s="25"/>
      <c r="C20" s="84">
        <f>'[3]4.3'!C20</f>
        <v>147927</v>
      </c>
      <c r="D20" s="84">
        <f>'[3]4.3'!D20</f>
        <v>139955</v>
      </c>
      <c r="E20" s="84">
        <f>'[3]4.3'!E20</f>
        <v>140459</v>
      </c>
      <c r="F20" s="84">
        <f>'[3]4.3'!F20</f>
        <v>139777</v>
      </c>
      <c r="G20" s="84"/>
      <c r="H20" s="84"/>
      <c r="I20" s="84"/>
      <c r="J20" s="106"/>
      <c r="L20" s="2"/>
    </row>
    <row r="21" spans="1:13" x14ac:dyDescent="0.2">
      <c r="A21" t="str">
        <f t="shared" si="2"/>
        <v>2016</v>
      </c>
      <c r="B21" s="25"/>
      <c r="C21" s="84">
        <f>'[3]4.3'!C21</f>
        <v>31292</v>
      </c>
      <c r="D21" s="84">
        <f>'[3]4.3'!D21</f>
        <v>29612</v>
      </c>
      <c r="E21" s="84">
        <f>'[3]4.3'!E21</f>
        <v>28908</v>
      </c>
      <c r="F21" s="84"/>
      <c r="G21" s="84"/>
      <c r="H21" s="84"/>
      <c r="I21" s="84"/>
      <c r="J21" s="106"/>
      <c r="L21" s="2"/>
    </row>
    <row r="22" spans="1:13" x14ac:dyDescent="0.2">
      <c r="A22" t="str">
        <f t="shared" si="2"/>
        <v>2017</v>
      </c>
      <c r="B22" s="25"/>
      <c r="C22" s="84">
        <f>'[3]4.3'!C22</f>
        <v>1278467</v>
      </c>
      <c r="D22" s="84">
        <f>'[3]4.3'!D22</f>
        <v>1373877</v>
      </c>
      <c r="E22" s="84"/>
      <c r="F22" s="84"/>
      <c r="G22" s="84"/>
      <c r="H22" s="84"/>
      <c r="I22" s="84"/>
      <c r="J22" s="106"/>
      <c r="L22" s="2"/>
      <c r="M22" t="s">
        <v>222</v>
      </c>
    </row>
    <row r="23" spans="1:13" x14ac:dyDescent="0.2">
      <c r="A23" t="str">
        <f>TEXT(YEAR($M$23),"#")</f>
        <v>2018</v>
      </c>
      <c r="B23" s="25"/>
      <c r="C23" s="84">
        <f>'[3]4.3'!C23</f>
        <v>13197</v>
      </c>
      <c r="D23" s="84"/>
      <c r="E23" s="84"/>
      <c r="F23" s="84"/>
      <c r="G23" s="84"/>
      <c r="H23" s="84"/>
      <c r="I23" s="84"/>
      <c r="J23" s="106"/>
      <c r="L23" s="2"/>
      <c r="M23" s="87">
        <f>'[3]4.3'!M23</f>
        <v>43465</v>
      </c>
    </row>
    <row r="24" spans="1:13" x14ac:dyDescent="0.2">
      <c r="A24" s="9"/>
      <c r="B24" s="26"/>
      <c r="C24" s="85"/>
      <c r="D24" s="85"/>
      <c r="E24" s="85"/>
      <c r="F24" s="85"/>
      <c r="G24" s="85"/>
      <c r="H24" s="85"/>
      <c r="I24" s="85"/>
      <c r="J24" s="106"/>
      <c r="L24" s="2"/>
    </row>
    <row r="25" spans="1:13" x14ac:dyDescent="0.2">
      <c r="J25" s="50"/>
      <c r="L25" s="2"/>
    </row>
    <row r="26" spans="1:13" x14ac:dyDescent="0.2">
      <c r="C26" s="24" t="s">
        <v>71</v>
      </c>
      <c r="J26" s="50"/>
      <c r="L26" s="2"/>
    </row>
    <row r="27" spans="1:13" x14ac:dyDescent="0.2">
      <c r="A27" t="s">
        <v>54</v>
      </c>
      <c r="J27" s="50"/>
      <c r="L27" s="2"/>
    </row>
    <row r="28" spans="1:13" x14ac:dyDescent="0.2">
      <c r="A28" s="9" t="s">
        <v>55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J28" s="50"/>
      <c r="L28" s="2"/>
    </row>
    <row r="29" spans="1:13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20"/>
      <c r="L29" s="2"/>
    </row>
    <row r="30" spans="1:13" x14ac:dyDescent="0.2">
      <c r="J30" s="50"/>
      <c r="L30" s="2"/>
    </row>
    <row r="31" spans="1:13" x14ac:dyDescent="0.2">
      <c r="A31" t="str">
        <f t="shared" ref="A31:A39" si="5">A14</f>
        <v>2009</v>
      </c>
      <c r="B31" s="25"/>
      <c r="C31" s="39">
        <f t="shared" ref="C31:H39" si="6">IF(ISNUMBER(D14),D14/C14,"")</f>
        <v>1.3094230071368089</v>
      </c>
      <c r="D31" s="39">
        <f t="shared" si="6"/>
        <v>0.97745958429561197</v>
      </c>
      <c r="E31" s="39">
        <f t="shared" si="6"/>
        <v>1.0142708628674038</v>
      </c>
      <c r="F31" s="39">
        <f t="shared" si="6"/>
        <v>0.97400298173686173</v>
      </c>
      <c r="G31" s="39">
        <f t="shared" si="6"/>
        <v>0.99531235052138145</v>
      </c>
      <c r="H31" s="39">
        <f t="shared" si="6"/>
        <v>1.0002883506343714</v>
      </c>
      <c r="I31" s="39" t="str">
        <f>IF(ISNUMBER(#REF!),#REF!/I14,"")</f>
        <v/>
      </c>
      <c r="J31" s="167"/>
      <c r="L31" s="2"/>
    </row>
    <row r="32" spans="1:13" x14ac:dyDescent="0.2">
      <c r="A32" t="str">
        <f t="shared" si="5"/>
        <v>2010</v>
      </c>
      <c r="B32" s="25"/>
      <c r="C32" s="39">
        <f t="shared" si="6"/>
        <v>1.1939533355241538</v>
      </c>
      <c r="D32" s="39">
        <f t="shared" si="6"/>
        <v>1.0003853352416603</v>
      </c>
      <c r="E32" s="39">
        <f t="shared" si="6"/>
        <v>1.0192043140923348</v>
      </c>
      <c r="F32" s="39">
        <f t="shared" si="6"/>
        <v>0.99130763416477707</v>
      </c>
      <c r="G32" s="39">
        <f t="shared" si="6"/>
        <v>0.99488045313436091</v>
      </c>
      <c r="H32" s="39">
        <f t="shared" si="6"/>
        <v>0.98702578420101827</v>
      </c>
      <c r="I32" s="39" t="str">
        <f>IF(ISNUMBER(#REF!),#REF!/I15,"")</f>
        <v/>
      </c>
      <c r="J32" s="167"/>
      <c r="L32" s="2"/>
    </row>
    <row r="33" spans="1:12" x14ac:dyDescent="0.2">
      <c r="A33" t="str">
        <f t="shared" si="5"/>
        <v>2011</v>
      </c>
      <c r="B33" s="25"/>
      <c r="C33" s="39">
        <f t="shared" si="6"/>
        <v>1.022103931696005</v>
      </c>
      <c r="D33" s="39">
        <f t="shared" si="6"/>
        <v>1.0055276537378697</v>
      </c>
      <c r="E33" s="39">
        <f t="shared" si="6"/>
        <v>0.99307713608812032</v>
      </c>
      <c r="F33" s="39">
        <f t="shared" si="6"/>
        <v>0.99416491097616388</v>
      </c>
      <c r="G33" s="39">
        <f t="shared" si="6"/>
        <v>0.99689392601518756</v>
      </c>
      <c r="H33" s="39">
        <f t="shared" si="6"/>
        <v>1.0033971072485515</v>
      </c>
      <c r="I33" s="39" t="str">
        <f>IF(ISNUMBER(#REF!),#REF!/I16,"")</f>
        <v/>
      </c>
      <c r="J33" s="167"/>
      <c r="L33" s="2"/>
    </row>
    <row r="34" spans="1:12" x14ac:dyDescent="0.2">
      <c r="A34" t="str">
        <f t="shared" si="5"/>
        <v>2012</v>
      </c>
      <c r="B34" s="25"/>
      <c r="C34" s="39">
        <f t="shared" si="6"/>
        <v>1.1122732055738018</v>
      </c>
      <c r="D34" s="39">
        <f t="shared" si="6"/>
        <v>0.96449458173269886</v>
      </c>
      <c r="E34" s="39">
        <f t="shared" si="6"/>
        <v>0.9916328562723854</v>
      </c>
      <c r="F34" s="39">
        <f t="shared" si="6"/>
        <v>0.99406510401055093</v>
      </c>
      <c r="G34" s="39">
        <f t="shared" si="6"/>
        <v>1.0200518634664093</v>
      </c>
      <c r="H34" s="39">
        <f t="shared" si="6"/>
        <v>0.99893582429276662</v>
      </c>
      <c r="I34" s="39" t="str">
        <f>IF(ISNUMBER(#REF!),#REF!/I17,"")</f>
        <v/>
      </c>
      <c r="J34" s="167"/>
      <c r="L34" s="2"/>
    </row>
    <row r="35" spans="1:12" x14ac:dyDescent="0.2">
      <c r="A35" t="str">
        <f t="shared" si="5"/>
        <v>2013</v>
      </c>
      <c r="B35" s="25"/>
      <c r="C35" s="39">
        <f t="shared" si="6"/>
        <v>0.97409460649707269</v>
      </c>
      <c r="D35" s="39">
        <f t="shared" si="6"/>
        <v>0.96883144513589703</v>
      </c>
      <c r="E35" s="39">
        <f t="shared" si="6"/>
        <v>0.98576722481471313</v>
      </c>
      <c r="F35" s="39">
        <f t="shared" si="6"/>
        <v>0.99252328641243059</v>
      </c>
      <c r="G35" s="39">
        <f t="shared" si="6"/>
        <v>0.99694189602446481</v>
      </c>
      <c r="H35" s="39" t="str">
        <f t="shared" si="6"/>
        <v/>
      </c>
      <c r="I35" s="39" t="str">
        <f>IF(ISNUMBER(#REF!),#REF!/I18,"")</f>
        <v/>
      </c>
      <c r="J35" s="167"/>
      <c r="L35" s="2"/>
    </row>
    <row r="36" spans="1:12" x14ac:dyDescent="0.2">
      <c r="A36" t="str">
        <f t="shared" si="5"/>
        <v>2014</v>
      </c>
      <c r="B36" s="25"/>
      <c r="C36" s="39">
        <f t="shared" si="6"/>
        <v>1.1654548152544888</v>
      </c>
      <c r="D36" s="39">
        <f t="shared" si="6"/>
        <v>0.92920804685510572</v>
      </c>
      <c r="E36" s="39">
        <f t="shared" si="6"/>
        <v>0.99493011784050422</v>
      </c>
      <c r="F36" s="39">
        <f t="shared" si="6"/>
        <v>0.97341963916815866</v>
      </c>
      <c r="G36" s="39" t="str">
        <f t="shared" si="6"/>
        <v/>
      </c>
      <c r="H36" s="39" t="str">
        <f t="shared" si="6"/>
        <v/>
      </c>
      <c r="I36" s="39" t="str">
        <f>IF(ISNUMBER(#REF!),#REF!/I19,"")</f>
        <v/>
      </c>
      <c r="J36" s="167"/>
      <c r="L36" s="2"/>
    </row>
    <row r="37" spans="1:12" x14ac:dyDescent="0.2">
      <c r="A37" t="str">
        <f t="shared" si="5"/>
        <v>2015</v>
      </c>
      <c r="B37" s="25"/>
      <c r="C37" s="39">
        <f t="shared" si="6"/>
        <v>0.94610855354330181</v>
      </c>
      <c r="D37" s="39">
        <f t="shared" si="6"/>
        <v>1.0036011575149155</v>
      </c>
      <c r="E37" s="39">
        <f t="shared" si="6"/>
        <v>0.99514449056308252</v>
      </c>
      <c r="F37" s="39" t="str">
        <f t="shared" si="6"/>
        <v/>
      </c>
      <c r="G37" s="39" t="str">
        <f t="shared" si="6"/>
        <v/>
      </c>
      <c r="H37" s="39" t="str">
        <f t="shared" si="6"/>
        <v/>
      </c>
      <c r="I37" s="39" t="str">
        <f>IF(ISNUMBER(#REF!),#REF!/I20,"")</f>
        <v/>
      </c>
      <c r="J37" s="167"/>
      <c r="L37" s="2"/>
    </row>
    <row r="38" spans="1:12" x14ac:dyDescent="0.2">
      <c r="A38" t="str">
        <f t="shared" si="5"/>
        <v>2016</v>
      </c>
      <c r="B38" s="25"/>
      <c r="C38" s="39">
        <f t="shared" si="6"/>
        <v>0.9463121564617154</v>
      </c>
      <c r="D38" s="39">
        <f t="shared" si="6"/>
        <v>0.97622585438335807</v>
      </c>
      <c r="E38" s="39" t="str">
        <f t="shared" si="6"/>
        <v/>
      </c>
      <c r="F38" s="39" t="str">
        <f t="shared" si="6"/>
        <v/>
      </c>
      <c r="G38" s="39" t="str">
        <f t="shared" si="6"/>
        <v/>
      </c>
      <c r="H38" s="39" t="str">
        <f t="shared" si="6"/>
        <v/>
      </c>
      <c r="I38" s="39" t="str">
        <f>IF(ISNUMBER(#REF!),#REF!/I21,"")</f>
        <v/>
      </c>
      <c r="J38" s="167"/>
      <c r="L38" s="2"/>
    </row>
    <row r="39" spans="1:12" x14ac:dyDescent="0.2">
      <c r="A39" t="str">
        <f t="shared" si="5"/>
        <v>2017</v>
      </c>
      <c r="B39" s="25"/>
      <c r="C39" s="39">
        <f>IF(ISNUMBER(D22),D22/C22,"")</f>
        <v>1.0746284417196532</v>
      </c>
      <c r="D39" s="39" t="str">
        <f t="shared" si="6"/>
        <v/>
      </c>
      <c r="E39" s="39" t="str">
        <f t="shared" si="6"/>
        <v/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IF(ISNUMBER(#REF!),#REF!/I22,"")</f>
        <v/>
      </c>
      <c r="J39" s="167"/>
      <c r="L39" s="2"/>
    </row>
    <row r="40" spans="1:12" x14ac:dyDescent="0.2">
      <c r="A40" s="9"/>
      <c r="B40" s="26"/>
      <c r="C40" s="40"/>
      <c r="D40" s="40"/>
      <c r="E40" s="40"/>
      <c r="F40" s="40"/>
      <c r="G40" s="40"/>
      <c r="H40" s="40"/>
      <c r="I40" s="40"/>
      <c r="J40" s="50"/>
      <c r="L40" s="2"/>
    </row>
    <row r="41" spans="1:12" x14ac:dyDescent="0.2">
      <c r="C41" s="19"/>
      <c r="J41" s="50"/>
      <c r="L41" s="2"/>
    </row>
    <row r="42" spans="1:12" x14ac:dyDescent="0.2">
      <c r="A42" t="s">
        <v>72</v>
      </c>
      <c r="B42" s="25"/>
      <c r="C42" s="41">
        <f t="shared" ref="C42:H42" si="7">AVERAGE(C31:C39)</f>
        <v>1.0827057837118892</v>
      </c>
      <c r="D42" s="41">
        <f t="shared" si="7"/>
        <v>0.97821670736213961</v>
      </c>
      <c r="E42" s="41">
        <f t="shared" si="7"/>
        <v>0.99914671464836347</v>
      </c>
      <c r="F42" s="41">
        <f t="shared" si="7"/>
        <v>0.9865805927448239</v>
      </c>
      <c r="G42" s="41">
        <f t="shared" si="7"/>
        <v>1.0008160978323608</v>
      </c>
      <c r="H42" s="41">
        <f t="shared" si="7"/>
        <v>0.99741176659417685</v>
      </c>
      <c r="I42" s="41"/>
      <c r="J42" s="168"/>
      <c r="L42" s="2"/>
    </row>
    <row r="43" spans="1:12" x14ac:dyDescent="0.2">
      <c r="A43" t="s">
        <v>98</v>
      </c>
      <c r="B43" s="22"/>
      <c r="C43" s="43">
        <f t="shared" ref="C43:H43" si="8">(SUM(C31:C39)-MAX(C31:C39)-MIN(C31:C39))/(COUNT(C31:C39)-2)</f>
        <v>1.0698314989609845</v>
      </c>
      <c r="D43" s="43">
        <f t="shared" si="8"/>
        <v>0.98183299305069027</v>
      </c>
      <c r="E43" s="43">
        <f t="shared" si="8"/>
        <v>0.99781109272629931</v>
      </c>
      <c r="F43" s="43">
        <f t="shared" si="8"/>
        <v>0.98797475158115533</v>
      </c>
      <c r="G43" s="43">
        <f t="shared" si="8"/>
        <v>0.99638272418701146</v>
      </c>
      <c r="H43" s="43">
        <f t="shared" si="8"/>
        <v>0.99961208746356878</v>
      </c>
      <c r="I43" s="41"/>
      <c r="J43" s="168"/>
      <c r="L43" s="2"/>
    </row>
    <row r="44" spans="1:12" x14ac:dyDescent="0.2">
      <c r="A44" t="s">
        <v>99</v>
      </c>
      <c r="C44" s="41">
        <f>AVERAGE(C37:C39)</f>
        <v>0.98901638390822344</v>
      </c>
      <c r="D44" s="41">
        <f>AVERAGE(D36:D38)</f>
        <v>0.96967835291779314</v>
      </c>
      <c r="E44" s="41">
        <f>AVERAGE(E35:E37)</f>
        <v>0.99194727773943325</v>
      </c>
      <c r="F44" s="41">
        <f>AVERAGE(F34:F36)</f>
        <v>0.9866693431970468</v>
      </c>
      <c r="G44" s="41">
        <f>AVERAGE(G33:G35)</f>
        <v>1.0046292285020206</v>
      </c>
      <c r="H44" s="41">
        <f>AVERAGE(H32:H34)</f>
        <v>0.99645290524744556</v>
      </c>
      <c r="J44" s="50"/>
      <c r="L44" s="2"/>
    </row>
    <row r="45" spans="1:12" x14ac:dyDescent="0.2">
      <c r="A45" t="s">
        <v>73</v>
      </c>
      <c r="B45" s="25"/>
      <c r="C45" s="41">
        <f>AVERAGE(C35:C39)</f>
        <v>1.0213197146952464</v>
      </c>
      <c r="D45" s="41">
        <f>AVERAGE(D34:D38)</f>
        <v>0.96847221712439491</v>
      </c>
      <c r="E45" s="41">
        <f>AVERAGE(E33:E37)</f>
        <v>0.99211036511576123</v>
      </c>
      <c r="F45" s="41">
        <f>AVERAGE(F32:F36)</f>
        <v>0.98909611494641614</v>
      </c>
      <c r="G45" s="41">
        <f>AVERAGE(G31:G35)</f>
        <v>1.0008160978323608</v>
      </c>
      <c r="H45" s="41">
        <f>AVERAGE(H31:H34)</f>
        <v>0.99741176659417685</v>
      </c>
      <c r="J45" s="50"/>
      <c r="L45" s="2"/>
    </row>
    <row r="46" spans="1:12" x14ac:dyDescent="0.2">
      <c r="A46" s="62" t="s">
        <v>270</v>
      </c>
      <c r="B46" s="62"/>
      <c r="C46" s="233">
        <v>1.054</v>
      </c>
      <c r="D46" s="233">
        <v>0.98399999999999999</v>
      </c>
      <c r="E46" s="233">
        <v>1.0029999999999999</v>
      </c>
      <c r="F46" s="233">
        <v>1.0049999999999999</v>
      </c>
      <c r="G46" s="233">
        <v>0.99299999999999999</v>
      </c>
      <c r="H46" s="233">
        <v>0.99299999999999999</v>
      </c>
      <c r="I46" s="233">
        <v>1</v>
      </c>
      <c r="J46" s="169"/>
      <c r="L46" s="2"/>
    </row>
    <row r="47" spans="1:12" x14ac:dyDescent="0.2">
      <c r="A47" t="s">
        <v>74</v>
      </c>
      <c r="C47" s="98">
        <f>'[3]4.3'!C$47</f>
        <v>1.0409999999999999</v>
      </c>
      <c r="D47" s="98">
        <f>'[3]4.3'!D$47</f>
        <v>0.97699999999999998</v>
      </c>
      <c r="E47" s="98">
        <f>'[3]4.3'!E$47</f>
        <v>0.996</v>
      </c>
      <c r="F47" s="98">
        <f>'[3]4.3'!F$47</f>
        <v>0.99</v>
      </c>
      <c r="G47" s="98">
        <f>'[3]4.3'!G$47</f>
        <v>1</v>
      </c>
      <c r="H47" s="98">
        <f>'[3]4.3'!H$47</f>
        <v>0.997</v>
      </c>
      <c r="I47" s="98">
        <f>'[3]4.3'!I$47</f>
        <v>1</v>
      </c>
      <c r="J47" s="170"/>
      <c r="L47" s="2"/>
    </row>
    <row r="48" spans="1:12" x14ac:dyDescent="0.2">
      <c r="A48" t="s">
        <v>75</v>
      </c>
      <c r="C48" s="43">
        <f t="shared" ref="C48:H48" si="9">ROUND(C47*D48,3)</f>
        <v>0.999</v>
      </c>
      <c r="D48" s="43">
        <f t="shared" si="9"/>
        <v>0.96</v>
      </c>
      <c r="E48" s="43">
        <f t="shared" si="9"/>
        <v>0.98299999999999998</v>
      </c>
      <c r="F48" s="43">
        <f t="shared" si="9"/>
        <v>0.98699999999999999</v>
      </c>
      <c r="G48" s="43">
        <f t="shared" si="9"/>
        <v>0.997</v>
      </c>
      <c r="H48" s="43">
        <f t="shared" si="9"/>
        <v>0.997</v>
      </c>
      <c r="I48" s="43">
        <f>I47</f>
        <v>1</v>
      </c>
      <c r="J48" s="108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50"/>
      <c r="L49" s="2"/>
    </row>
    <row r="50" spans="1:12" ht="12" thickTop="1" x14ac:dyDescent="0.2">
      <c r="J50" s="50"/>
      <c r="L50" s="2"/>
    </row>
    <row r="51" spans="1:12" x14ac:dyDescent="0.2">
      <c r="J51" s="50"/>
      <c r="L51" s="2"/>
    </row>
    <row r="52" spans="1:12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/>
  <dimension ref="A1:K70"/>
  <sheetViews>
    <sheetView topLeftCell="A26" zoomScaleNormal="100" workbookViewId="0">
      <selection activeCell="K70" sqref="K70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1640625" bestFit="1" customWidth="1"/>
  </cols>
  <sheetData>
    <row r="1" spans="1:11" x14ac:dyDescent="0.2">
      <c r="A1" s="8" t="str">
        <f>'1'!$A$1</f>
        <v>Texas Windstorm Insurance Association</v>
      </c>
      <c r="B1" s="12"/>
      <c r="J1" s="7" t="s">
        <v>76</v>
      </c>
      <c r="K1" s="1"/>
    </row>
    <row r="2" spans="1:11" x14ac:dyDescent="0.2">
      <c r="A2" s="8" t="str">
        <f>'1'!$A$2</f>
        <v>Residential Property - Wind &amp; Hail</v>
      </c>
      <c r="B2" s="12"/>
      <c r="J2" s="7" t="s">
        <v>92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223</v>
      </c>
      <c r="B4" s="12"/>
      <c r="K4" s="2"/>
    </row>
    <row r="5" spans="1:11" x14ac:dyDescent="0.2">
      <c r="B5" s="12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6"/>
      <c r="E7" s="6"/>
      <c r="F7" s="6"/>
      <c r="G7" s="6"/>
      <c r="K7" s="2"/>
    </row>
    <row r="8" spans="1:11" ht="12" thickTop="1" x14ac:dyDescent="0.2">
      <c r="K8" s="2"/>
    </row>
    <row r="9" spans="1:11" x14ac:dyDescent="0.2">
      <c r="C9" s="22" t="s">
        <v>88</v>
      </c>
      <c r="E9" t="s">
        <v>13</v>
      </c>
      <c r="K9" s="2"/>
    </row>
    <row r="10" spans="1:11" x14ac:dyDescent="0.2">
      <c r="A10" t="s">
        <v>54</v>
      </c>
      <c r="C10" t="s">
        <v>93</v>
      </c>
      <c r="D10" t="s">
        <v>57</v>
      </c>
      <c r="E10" t="s">
        <v>36</v>
      </c>
      <c r="F10" t="s">
        <v>88</v>
      </c>
      <c r="G10" t="s">
        <v>88</v>
      </c>
      <c r="K10" s="2"/>
    </row>
    <row r="11" spans="1:11" x14ac:dyDescent="0.2">
      <c r="A11" s="9" t="s">
        <v>55</v>
      </c>
      <c r="B11" s="9"/>
      <c r="C11" s="9" t="str">
        <f>"at "&amp;TEXT('4.2'!$M$11,"m/d/yy")</f>
        <v>at 12/31/18</v>
      </c>
      <c r="D11" s="9" t="s">
        <v>38</v>
      </c>
      <c r="E11" s="9" t="s">
        <v>93</v>
      </c>
      <c r="F11" s="9" t="s">
        <v>94</v>
      </c>
      <c r="G11" s="9" t="s">
        <v>37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1" x14ac:dyDescent="0.2">
      <c r="A13" s="245">
        <v>1980</v>
      </c>
      <c r="G13" s="84">
        <f>'[3]4.4'!G13</f>
        <v>1318</v>
      </c>
      <c r="K13" s="2"/>
    </row>
    <row r="14" spans="1:11" x14ac:dyDescent="0.2">
      <c r="A14" t="str">
        <f>TEXT(A13+1,"#")</f>
        <v>1981</v>
      </c>
      <c r="B14" s="25"/>
      <c r="C14" s="31"/>
      <c r="D14" s="31"/>
      <c r="E14" s="31"/>
      <c r="F14" s="31"/>
      <c r="G14" s="84">
        <f>'[3]4.4'!G14</f>
        <v>543</v>
      </c>
      <c r="K14" s="2"/>
    </row>
    <row r="15" spans="1:11" x14ac:dyDescent="0.2">
      <c r="A15" t="str">
        <f>TEXT(A14+1,"#")</f>
        <v>1982</v>
      </c>
      <c r="B15" s="25"/>
      <c r="C15" s="31"/>
      <c r="D15" s="31"/>
      <c r="E15" s="31"/>
      <c r="F15" s="31"/>
      <c r="G15" s="84">
        <f>'[3]4.4'!G15</f>
        <v>565</v>
      </c>
      <c r="K15" s="2"/>
    </row>
    <row r="16" spans="1:11" x14ac:dyDescent="0.2">
      <c r="A16" t="str">
        <f t="shared" ref="A16:A51" si="0">TEXT(A15+1,"#")</f>
        <v>1983</v>
      </c>
      <c r="B16" s="25"/>
      <c r="C16" s="31"/>
      <c r="D16" s="31"/>
      <c r="E16" s="31"/>
      <c r="F16" s="31"/>
      <c r="G16" s="84">
        <f>'[3]4.4'!G16</f>
        <v>9127</v>
      </c>
      <c r="K16" s="2"/>
    </row>
    <row r="17" spans="1:11" x14ac:dyDescent="0.2">
      <c r="A17" t="str">
        <f t="shared" si="0"/>
        <v>1984</v>
      </c>
      <c r="B17" s="25"/>
      <c r="C17" s="31"/>
      <c r="D17" s="31"/>
      <c r="E17" s="31"/>
      <c r="F17" s="31"/>
      <c r="G17" s="84">
        <f>'[3]4.4'!G17</f>
        <v>324</v>
      </c>
      <c r="K17" s="2"/>
    </row>
    <row r="18" spans="1:11" x14ac:dyDescent="0.2">
      <c r="A18" t="str">
        <f t="shared" si="0"/>
        <v>1985</v>
      </c>
      <c r="B18" s="25"/>
      <c r="C18" s="31"/>
      <c r="D18" s="31"/>
      <c r="E18" s="31"/>
      <c r="F18" s="31"/>
      <c r="G18" s="84">
        <f>'[3]4.4'!G18</f>
        <v>297</v>
      </c>
      <c r="K18" s="2"/>
    </row>
    <row r="19" spans="1:11" x14ac:dyDescent="0.2">
      <c r="A19" t="str">
        <f t="shared" si="0"/>
        <v>1986</v>
      </c>
      <c r="B19" s="25"/>
      <c r="C19" s="31"/>
      <c r="D19" s="31"/>
      <c r="E19" s="31"/>
      <c r="F19" s="31"/>
      <c r="G19" s="84">
        <f>'[3]4.4'!G19</f>
        <v>505</v>
      </c>
      <c r="K19" s="2"/>
    </row>
    <row r="20" spans="1:11" x14ac:dyDescent="0.2">
      <c r="A20" t="str">
        <f t="shared" si="0"/>
        <v>1987</v>
      </c>
      <c r="B20" s="25"/>
      <c r="C20" s="31"/>
      <c r="D20" s="31"/>
      <c r="E20" s="31"/>
      <c r="F20" s="31"/>
      <c r="G20" s="84">
        <f>'[3]4.4'!G20</f>
        <v>1056</v>
      </c>
      <c r="K20" s="2"/>
    </row>
    <row r="21" spans="1:11" x14ac:dyDescent="0.2">
      <c r="A21" t="str">
        <f t="shared" si="0"/>
        <v>1988</v>
      </c>
      <c r="B21" s="25"/>
      <c r="C21" s="31"/>
      <c r="D21" s="31"/>
      <c r="E21" s="31"/>
      <c r="F21" s="31"/>
      <c r="G21" s="84">
        <f>'[3]4.4'!G21</f>
        <v>357</v>
      </c>
      <c r="K21" s="2"/>
    </row>
    <row r="22" spans="1:11" x14ac:dyDescent="0.2">
      <c r="A22" t="str">
        <f t="shared" si="0"/>
        <v>1989</v>
      </c>
      <c r="B22" s="25"/>
      <c r="C22" s="31"/>
      <c r="D22" s="31"/>
      <c r="E22" s="84">
        <f>'[3]4.4'!E22</f>
        <v>2727</v>
      </c>
      <c r="F22" s="84">
        <f>'[3]4.4'!F22</f>
        <v>801</v>
      </c>
      <c r="G22" s="84">
        <f>'[3]4.4'!G22</f>
        <v>3528</v>
      </c>
      <c r="K22" s="2"/>
    </row>
    <row r="23" spans="1:11" x14ac:dyDescent="0.2">
      <c r="A23" t="str">
        <f t="shared" si="0"/>
        <v>1990</v>
      </c>
      <c r="C23" s="31"/>
      <c r="D23" s="31"/>
      <c r="E23" s="84">
        <f>'[3]4.4'!E23</f>
        <v>119</v>
      </c>
      <c r="F23" s="84">
        <f>'[3]4.4'!F23</f>
        <v>106</v>
      </c>
      <c r="G23" s="84">
        <f>'[3]4.4'!G23</f>
        <v>225</v>
      </c>
      <c r="K23" s="2"/>
    </row>
    <row r="24" spans="1:11" x14ac:dyDescent="0.2">
      <c r="A24" t="str">
        <f t="shared" si="0"/>
        <v>1991</v>
      </c>
      <c r="C24" s="31"/>
      <c r="D24" s="31"/>
      <c r="E24" s="84">
        <f>'[3]4.4'!E24</f>
        <v>403</v>
      </c>
      <c r="F24" s="84">
        <f>'[3]4.4'!F24</f>
        <v>326</v>
      </c>
      <c r="G24" s="84">
        <f>'[3]4.4'!G24</f>
        <v>729</v>
      </c>
      <c r="K24" s="2"/>
    </row>
    <row r="25" spans="1:11" x14ac:dyDescent="0.2">
      <c r="A25" t="str">
        <f t="shared" si="0"/>
        <v>1992</v>
      </c>
      <c r="C25" s="31"/>
      <c r="D25" s="31"/>
      <c r="E25" s="84">
        <f>'[3]4.4'!E25</f>
        <v>270</v>
      </c>
      <c r="F25" s="84">
        <f>'[3]4.4'!F25</f>
        <v>284</v>
      </c>
      <c r="G25" s="84">
        <f>'[3]4.4'!G25</f>
        <v>554</v>
      </c>
      <c r="K25" s="2"/>
    </row>
    <row r="26" spans="1:11" x14ac:dyDescent="0.2">
      <c r="A26" t="str">
        <f t="shared" si="0"/>
        <v>1993</v>
      </c>
      <c r="C26" s="31"/>
      <c r="D26" s="31"/>
      <c r="E26" s="84">
        <f>'[3]4.4'!E26</f>
        <v>806</v>
      </c>
      <c r="F26" s="84">
        <f>'[3]4.4'!F26</f>
        <v>569</v>
      </c>
      <c r="G26" s="84">
        <f>'[3]4.4'!G26</f>
        <v>1375</v>
      </c>
      <c r="K26" s="2"/>
    </row>
    <row r="27" spans="1:11" x14ac:dyDescent="0.2">
      <c r="A27" t="str">
        <f t="shared" si="0"/>
        <v>1994</v>
      </c>
      <c r="C27" s="31"/>
      <c r="D27" s="31"/>
      <c r="E27" s="84">
        <f>'[3]4.4'!E27</f>
        <v>192</v>
      </c>
      <c r="F27" s="84">
        <f>'[3]4.4'!F27</f>
        <v>315</v>
      </c>
      <c r="G27" s="84">
        <f>'[3]4.4'!G27</f>
        <v>507</v>
      </c>
      <c r="K27" s="2"/>
    </row>
    <row r="28" spans="1:11" x14ac:dyDescent="0.2">
      <c r="A28" t="str">
        <f t="shared" si="0"/>
        <v>1995</v>
      </c>
      <c r="C28" s="31"/>
      <c r="D28" s="31"/>
      <c r="E28" s="84">
        <f>'[3]4.4'!E28</f>
        <v>698</v>
      </c>
      <c r="F28" s="84">
        <f>'[3]4.4'!F28</f>
        <v>205</v>
      </c>
      <c r="G28" s="84">
        <f>'[3]4.4'!G28</f>
        <v>903</v>
      </c>
      <c r="K28" s="2"/>
    </row>
    <row r="29" spans="1:11" x14ac:dyDescent="0.2">
      <c r="A29" t="str">
        <f t="shared" si="0"/>
        <v>1996</v>
      </c>
      <c r="C29" s="31"/>
      <c r="D29" s="31"/>
      <c r="E29" s="84">
        <f>'[3]4.4'!E29</f>
        <v>355</v>
      </c>
      <c r="F29" s="84">
        <f>'[3]4.4'!F29</f>
        <v>227</v>
      </c>
      <c r="G29" s="84">
        <f>'[3]4.4'!G29</f>
        <v>582</v>
      </c>
      <c r="K29" s="2"/>
    </row>
    <row r="30" spans="1:11" x14ac:dyDescent="0.2">
      <c r="A30" t="str">
        <f t="shared" si="0"/>
        <v>1997</v>
      </c>
      <c r="C30" s="31"/>
      <c r="D30" s="31"/>
      <c r="E30" s="84">
        <f>'[3]4.4'!E30</f>
        <v>892</v>
      </c>
      <c r="F30" s="84">
        <f>'[3]4.4'!F30</f>
        <v>451</v>
      </c>
      <c r="G30" s="84">
        <f>'[3]4.4'!G30</f>
        <v>1343</v>
      </c>
      <c r="K30" s="2"/>
    </row>
    <row r="31" spans="1:11" x14ac:dyDescent="0.2">
      <c r="A31" t="str">
        <f t="shared" si="0"/>
        <v>1998</v>
      </c>
      <c r="C31" s="31"/>
      <c r="D31" s="31"/>
      <c r="E31" s="84">
        <f>'[3]4.4'!E31</f>
        <v>3920</v>
      </c>
      <c r="F31" s="84">
        <f>'[3]4.4'!F31</f>
        <v>812</v>
      </c>
      <c r="G31" s="84">
        <f>'[3]4.4'!G31</f>
        <v>4732</v>
      </c>
      <c r="K31" s="2"/>
    </row>
    <row r="32" spans="1:11" x14ac:dyDescent="0.2">
      <c r="A32" t="str">
        <f t="shared" si="0"/>
        <v>1999</v>
      </c>
      <c r="B32" s="22"/>
      <c r="C32" s="31"/>
      <c r="D32" s="31"/>
      <c r="E32" s="84">
        <f>'[3]4.4'!E32</f>
        <v>1757</v>
      </c>
      <c r="F32" s="84">
        <f>'[3]4.4'!F32</f>
        <v>631</v>
      </c>
      <c r="G32" s="84">
        <f>'[3]4.4'!G32</f>
        <v>2388</v>
      </c>
      <c r="K32" s="2"/>
    </row>
    <row r="33" spans="1:11" x14ac:dyDescent="0.2">
      <c r="A33" t="str">
        <f t="shared" si="0"/>
        <v>2000</v>
      </c>
      <c r="B33" s="22"/>
      <c r="C33" s="31"/>
      <c r="D33" s="31"/>
      <c r="E33" s="84">
        <f>'[3]4.4'!E33</f>
        <v>1209</v>
      </c>
      <c r="F33" s="84">
        <f>'[3]4.4'!F33</f>
        <v>676</v>
      </c>
      <c r="G33" s="84">
        <f>'[3]4.4'!G33</f>
        <v>1885</v>
      </c>
      <c r="K33" s="2"/>
    </row>
    <row r="34" spans="1:11" x14ac:dyDescent="0.2">
      <c r="A34" t="str">
        <f t="shared" si="0"/>
        <v>2001</v>
      </c>
      <c r="E34" s="84">
        <f>'[3]4.4'!E34</f>
        <v>1207</v>
      </c>
      <c r="F34" s="84">
        <f>'[3]4.4'!F34</f>
        <v>673</v>
      </c>
      <c r="G34" s="84">
        <f>'[3]4.4'!G34</f>
        <v>1880</v>
      </c>
      <c r="K34" s="2"/>
    </row>
    <row r="35" spans="1:11" x14ac:dyDescent="0.2">
      <c r="A35" t="str">
        <f t="shared" si="0"/>
        <v>2002</v>
      </c>
      <c r="B35" s="22"/>
      <c r="C35" s="31"/>
      <c r="D35" s="39"/>
      <c r="E35" s="84">
        <f>'[3]4.4'!E35</f>
        <v>3643</v>
      </c>
      <c r="F35" s="84">
        <f>'[3]4.4'!F35</f>
        <v>1583</v>
      </c>
      <c r="G35" s="84">
        <f>'[3]4.4'!G35</f>
        <v>5226</v>
      </c>
      <c r="K35" s="2"/>
    </row>
    <row r="36" spans="1:11" x14ac:dyDescent="0.2">
      <c r="A36" t="str">
        <f t="shared" si="0"/>
        <v>2003</v>
      </c>
      <c r="C36" s="31"/>
      <c r="D36" s="39"/>
      <c r="E36" s="84">
        <f>'[3]4.4'!E36</f>
        <v>3239</v>
      </c>
      <c r="F36" s="84">
        <f>'[3]4.4'!F36</f>
        <v>1883</v>
      </c>
      <c r="G36" s="84">
        <f>'[3]4.4'!G36</f>
        <v>5122</v>
      </c>
      <c r="K36" s="2"/>
    </row>
    <row r="37" spans="1:11" x14ac:dyDescent="0.2">
      <c r="A37" t="str">
        <f t="shared" si="0"/>
        <v>2004</v>
      </c>
      <c r="C37" s="84"/>
      <c r="D37" s="127"/>
      <c r="E37" s="84">
        <f>'[3]4.4'!E37</f>
        <v>844</v>
      </c>
      <c r="F37" s="84">
        <f>'[3]4.4'!F37</f>
        <v>627</v>
      </c>
      <c r="G37" s="84">
        <f>'[3]4.4'!G37</f>
        <v>1471</v>
      </c>
      <c r="K37" s="2"/>
    </row>
    <row r="38" spans="1:11" x14ac:dyDescent="0.2">
      <c r="A38" t="str">
        <f t="shared" si="0"/>
        <v>2005</v>
      </c>
      <c r="C38" s="84"/>
      <c r="D38" s="127"/>
      <c r="E38" s="84">
        <f>'[3]4.4'!E38</f>
        <v>15229</v>
      </c>
      <c r="F38" s="84">
        <f>'[3]4.4'!F38</f>
        <v>5006</v>
      </c>
      <c r="G38" s="84">
        <f>'[3]4.4'!G38</f>
        <v>20235</v>
      </c>
      <c r="K38" s="2"/>
    </row>
    <row r="39" spans="1:11" x14ac:dyDescent="0.2">
      <c r="A39" t="str">
        <f t="shared" si="0"/>
        <v>2006</v>
      </c>
      <c r="C39" s="84"/>
      <c r="D39" s="127"/>
      <c r="E39" s="84">
        <f>'[3]4.4'!E39</f>
        <v>860</v>
      </c>
      <c r="F39" s="84">
        <f>'[3]4.4'!F39</f>
        <v>250</v>
      </c>
      <c r="G39" s="84">
        <f>'[3]4.4'!G39</f>
        <v>1110</v>
      </c>
      <c r="K39" s="2"/>
    </row>
    <row r="40" spans="1:11" x14ac:dyDescent="0.2">
      <c r="A40" t="str">
        <f t="shared" si="0"/>
        <v>2007</v>
      </c>
      <c r="C40" s="94"/>
      <c r="D40" s="254"/>
      <c r="E40" s="84">
        <f>'[3]4.4'!E40</f>
        <v>2489</v>
      </c>
      <c r="F40" s="84">
        <f>'[3]4.4'!F40</f>
        <v>2452</v>
      </c>
      <c r="G40" s="84">
        <f>'[3]4.4'!G40</f>
        <v>4941</v>
      </c>
      <c r="K40" s="2"/>
    </row>
    <row r="41" spans="1:11" x14ac:dyDescent="0.2">
      <c r="A41" t="str">
        <f t="shared" si="0"/>
        <v>2008</v>
      </c>
      <c r="C41" s="94">
        <f>'[3]4.4'!C41</f>
        <v>99668</v>
      </c>
      <c r="D41" s="254">
        <f>'[3]4.4'!D41</f>
        <v>1</v>
      </c>
      <c r="E41" s="84">
        <f>'[3]4.4'!E41</f>
        <v>99668</v>
      </c>
      <c r="F41" s="84">
        <f>'[3]4.4'!F41</f>
        <v>246947</v>
      </c>
      <c r="G41" s="84">
        <f>'[3]4.4'!G41</f>
        <v>346615</v>
      </c>
      <c r="K41" s="2"/>
    </row>
    <row r="42" spans="1:11" x14ac:dyDescent="0.2">
      <c r="A42" t="str">
        <f t="shared" si="0"/>
        <v>2009</v>
      </c>
      <c r="B42" s="51"/>
      <c r="C42" s="94">
        <f>'[3]4.4'!C42</f>
        <v>223</v>
      </c>
      <c r="D42" s="254">
        <f>'[3]4.4'!D42</f>
        <v>1</v>
      </c>
      <c r="E42" s="84">
        <f>'[3]4.4'!E42</f>
        <v>223</v>
      </c>
      <c r="F42" s="84">
        <f>'[3]4.4'!F42</f>
        <v>1996</v>
      </c>
      <c r="G42" s="84">
        <f>'[3]4.4'!G42</f>
        <v>2219</v>
      </c>
      <c r="K42" s="2"/>
    </row>
    <row r="43" spans="1:11" x14ac:dyDescent="0.2">
      <c r="A43" t="str">
        <f t="shared" si="0"/>
        <v>2010</v>
      </c>
      <c r="C43" s="94">
        <f>'[3]4.4'!C43</f>
        <v>323</v>
      </c>
      <c r="D43" s="201">
        <f>'[3]4.4'!D43</f>
        <v>1</v>
      </c>
      <c r="E43" s="84">
        <f>'[3]4.4'!E43</f>
        <v>323</v>
      </c>
      <c r="F43" s="84">
        <f>'[3]4.4'!F43</f>
        <v>3958</v>
      </c>
      <c r="G43" s="84">
        <f>'[3]4.4'!G43</f>
        <v>4281</v>
      </c>
      <c r="K43" s="2"/>
    </row>
    <row r="44" spans="1:11" x14ac:dyDescent="0.2">
      <c r="A44" t="str">
        <f t="shared" si="0"/>
        <v>2011</v>
      </c>
      <c r="C44" s="94">
        <f>'[3]4.4'!C44</f>
        <v>725</v>
      </c>
      <c r="D44" s="201">
        <f>'[3]4.4'!D44</f>
        <v>1</v>
      </c>
      <c r="E44" s="84">
        <f>'[3]4.4'!E44</f>
        <v>725</v>
      </c>
      <c r="F44" s="84">
        <f>'[3]4.4'!F44</f>
        <v>14445</v>
      </c>
      <c r="G44" s="84">
        <f>'[3]4.4'!G44</f>
        <v>15170</v>
      </c>
      <c r="K44" s="2"/>
    </row>
    <row r="45" spans="1:11" x14ac:dyDescent="0.2">
      <c r="A45" t="str">
        <f t="shared" si="0"/>
        <v>2012</v>
      </c>
      <c r="B45" s="51"/>
      <c r="C45" s="94">
        <f>'[3]4.4'!C45</f>
        <v>896</v>
      </c>
      <c r="D45" s="201">
        <f>'[3]4.4'!D45</f>
        <v>1</v>
      </c>
      <c r="E45" s="84">
        <f>'[3]4.4'!E45</f>
        <v>896</v>
      </c>
      <c r="F45" s="84">
        <f>'[3]4.4'!F45</f>
        <v>14962</v>
      </c>
      <c r="G45" s="84">
        <f>'[3]4.4'!G45</f>
        <v>15858</v>
      </c>
      <c r="K45" s="2"/>
    </row>
    <row r="46" spans="1:11" x14ac:dyDescent="0.2">
      <c r="A46" t="str">
        <f t="shared" si="0"/>
        <v>2013</v>
      </c>
      <c r="C46" s="94">
        <f>'[3]4.4'!C46</f>
        <v>971</v>
      </c>
      <c r="D46" s="201">
        <f>'[3]4.4'!D46</f>
        <v>1.0069999999999999</v>
      </c>
      <c r="E46" s="84">
        <f>'[3]4.4'!E46</f>
        <v>978</v>
      </c>
      <c r="F46" s="84">
        <f>'[3]4.4'!F46</f>
        <v>12932</v>
      </c>
      <c r="G46" s="84">
        <f>'[3]4.4'!G46</f>
        <v>13910</v>
      </c>
      <c r="K46" s="2"/>
    </row>
    <row r="47" spans="1:11" x14ac:dyDescent="0.2">
      <c r="A47" t="str">
        <f t="shared" si="0"/>
        <v>2014</v>
      </c>
      <c r="B47" s="50"/>
      <c r="C47" s="189">
        <f>'[3]4.4'!C47</f>
        <v>1077</v>
      </c>
      <c r="D47" s="255">
        <f>'[3]4.4'!D47</f>
        <v>1.008</v>
      </c>
      <c r="E47" s="106">
        <f>'[3]4.4'!E47</f>
        <v>1086</v>
      </c>
      <c r="F47" s="106">
        <f>'[3]4.4'!F47</f>
        <v>5806</v>
      </c>
      <c r="G47" s="84">
        <f>'[3]4.4'!G47</f>
        <v>6892</v>
      </c>
      <c r="K47" s="2"/>
    </row>
    <row r="48" spans="1:11" x14ac:dyDescent="0.2">
      <c r="A48" t="str">
        <f t="shared" si="0"/>
        <v>2015</v>
      </c>
      <c r="B48" s="50"/>
      <c r="C48" s="189">
        <f>'[3]4.4'!C48</f>
        <v>2749</v>
      </c>
      <c r="D48" s="255">
        <f>'[3]4.4'!D48</f>
        <v>1.0449999999999999</v>
      </c>
      <c r="E48" s="106">
        <f>'[3]4.4'!E48</f>
        <v>2873</v>
      </c>
      <c r="F48" s="106">
        <f>'[3]4.4'!F48</f>
        <v>37115</v>
      </c>
      <c r="G48" s="84">
        <f>'[3]4.4'!G48</f>
        <v>39988</v>
      </c>
      <c r="K48" s="2"/>
    </row>
    <row r="49" spans="1:11" x14ac:dyDescent="0.2">
      <c r="A49" t="str">
        <f t="shared" si="0"/>
        <v>2016</v>
      </c>
      <c r="C49" s="189">
        <f>'[3]4.4'!C49</f>
        <v>746</v>
      </c>
      <c r="D49" s="255">
        <f>'[3]4.4'!D49</f>
        <v>1.2030000000000001</v>
      </c>
      <c r="E49" s="106">
        <f>'[3]4.4'!E49</f>
        <v>897</v>
      </c>
      <c r="F49" s="106">
        <f>'[3]4.4'!F49</f>
        <v>14900</v>
      </c>
      <c r="G49" s="84">
        <f>'[3]4.4'!G49</f>
        <v>15797</v>
      </c>
      <c r="K49" s="2"/>
    </row>
    <row r="50" spans="1:11" x14ac:dyDescent="0.2">
      <c r="A50" s="50" t="str">
        <f t="shared" si="0"/>
        <v>2017</v>
      </c>
      <c r="B50" s="50"/>
      <c r="C50" s="189">
        <f>'[3]4.4'!C50</f>
        <v>16490</v>
      </c>
      <c r="D50" s="255">
        <f>'[3]4.4'!D50</f>
        <v>1.2390000000000001</v>
      </c>
      <c r="E50" s="106">
        <f>'[3]4.4'!E50</f>
        <v>20431</v>
      </c>
      <c r="F50" s="106">
        <f>'[3]4.4'!F50</f>
        <v>254223</v>
      </c>
      <c r="G50" s="106">
        <f>'[3]4.4'!G50</f>
        <v>274654</v>
      </c>
      <c r="K50" s="2"/>
    </row>
    <row r="51" spans="1:11" ht="12" thickBot="1" x14ac:dyDescent="0.25">
      <c r="A51" s="6" t="str">
        <f t="shared" si="0"/>
        <v>2018</v>
      </c>
      <c r="B51" s="6"/>
      <c r="C51" s="307">
        <f>'[3]4.4'!C51</f>
        <v>301</v>
      </c>
      <c r="D51" s="308">
        <f>'[3]4.4'!D51</f>
        <v>1.425</v>
      </c>
      <c r="E51" s="234">
        <f>'[3]4.4'!E51</f>
        <v>429</v>
      </c>
      <c r="F51" s="234">
        <f>'[3]4.4'!F51</f>
        <v>5995</v>
      </c>
      <c r="G51" s="234">
        <f>'[3]4.4'!G51</f>
        <v>6424</v>
      </c>
      <c r="K51" s="2"/>
    </row>
    <row r="52" spans="1:11" ht="12" thickTop="1" x14ac:dyDescent="0.2">
      <c r="A52" s="50"/>
      <c r="B52" s="50"/>
      <c r="C52" s="189"/>
      <c r="D52" s="255"/>
      <c r="E52" s="106"/>
      <c r="F52" s="106"/>
      <c r="G52" s="106"/>
      <c r="K52" s="2"/>
    </row>
    <row r="53" spans="1:11" x14ac:dyDescent="0.2">
      <c r="A53" s="50"/>
      <c r="B53" s="50"/>
      <c r="C53" s="50"/>
      <c r="D53" s="50"/>
      <c r="E53" s="50"/>
      <c r="F53" s="50"/>
      <c r="G53" s="50"/>
      <c r="K53" s="2"/>
    </row>
    <row r="54" spans="1:11" x14ac:dyDescent="0.2">
      <c r="A54" t="s">
        <v>18</v>
      </c>
      <c r="D54" s="22"/>
      <c r="K54" s="2"/>
    </row>
    <row r="55" spans="1:11" x14ac:dyDescent="0.2">
      <c r="B55" s="22" t="str">
        <f>C12&amp;" "&amp;'4.5AS LAE Dev'!$K$1&amp;", "&amp;'4.5AS LAE Dev'!$K$2</f>
        <v>(2) Exhibit 4, Sheet 5</v>
      </c>
      <c r="K55" s="2"/>
    </row>
    <row r="56" spans="1:11" x14ac:dyDescent="0.2">
      <c r="B56" s="22" t="str">
        <f>D12&amp;" "&amp;'4.5AS LAE Dev'!$K$1&amp;", "&amp;'4.5AS LAE Dev'!$K$2</f>
        <v>(3) Exhibit 4, Sheet 5</v>
      </c>
      <c r="K56" s="2"/>
    </row>
    <row r="57" spans="1:11" x14ac:dyDescent="0.2">
      <c r="B57" s="22" t="str">
        <f>'[3]4.4'!$B$56</f>
        <v>(4) 2008 - 2018: (2) * (3); 1986 - 2007: from TWIA's annual statements</v>
      </c>
      <c r="K57" s="2"/>
    </row>
    <row r="58" spans="1:11" x14ac:dyDescent="0.2">
      <c r="B58" s="22" t="str">
        <f>F12&amp;" From TWIA's annual statements"</f>
        <v>(5) From TWIA's annual statements</v>
      </c>
      <c r="K58" s="2"/>
    </row>
    <row r="59" spans="1:11" x14ac:dyDescent="0.2">
      <c r="B59" t="str">
        <f>'[3]4.4'!$B$58</f>
        <v>(6) 1986 - 2018: (4) + (5); prior years from prior TWIA annual statements</v>
      </c>
      <c r="C59" s="19"/>
      <c r="F59" s="45"/>
      <c r="K59" s="2"/>
    </row>
    <row r="60" spans="1:11" x14ac:dyDescent="0.2">
      <c r="F60" s="45"/>
      <c r="K60" s="2"/>
    </row>
    <row r="61" spans="1:11" x14ac:dyDescent="0.2">
      <c r="C61" s="19"/>
      <c r="D61" s="19"/>
      <c r="E61" s="39"/>
      <c r="F61" s="45"/>
      <c r="K61" s="2"/>
    </row>
    <row r="62" spans="1:11" x14ac:dyDescent="0.2">
      <c r="C62" s="19"/>
      <c r="D62" s="19"/>
      <c r="E62" s="39"/>
      <c r="F62" s="45"/>
      <c r="K62" s="2"/>
    </row>
    <row r="63" spans="1:11" x14ac:dyDescent="0.2">
      <c r="C63" s="19"/>
      <c r="D63" s="19"/>
      <c r="E63" s="39"/>
      <c r="F63" s="45"/>
      <c r="K63" s="2"/>
    </row>
    <row r="64" spans="1:11" x14ac:dyDescent="0.2">
      <c r="C64" s="19"/>
      <c r="D64" s="19"/>
      <c r="E64" s="39"/>
      <c r="F64" s="45"/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ht="12" thickBot="1" x14ac:dyDescent="0.25"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/>
  <dimension ref="A1:M71"/>
  <sheetViews>
    <sheetView topLeftCell="A14" zoomScaleNormal="100" workbookViewId="0">
      <selection activeCell="J59" sqref="J59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J1" s="50"/>
      <c r="K1" s="7" t="s">
        <v>76</v>
      </c>
      <c r="L1" s="1"/>
    </row>
    <row r="2" spans="1:13" x14ac:dyDescent="0.2">
      <c r="A2" s="8" t="str">
        <f>'1'!$A$2</f>
        <v>Residential Property - Wind &amp; Hail</v>
      </c>
      <c r="B2" s="12"/>
      <c r="J2" s="50"/>
      <c r="K2" s="7" t="s">
        <v>95</v>
      </c>
      <c r="L2" s="2"/>
    </row>
    <row r="3" spans="1:13" x14ac:dyDescent="0.2">
      <c r="A3" s="8" t="str">
        <f>'1'!$A$3</f>
        <v>Rate Level Review</v>
      </c>
      <c r="B3" s="12"/>
      <c r="J3" s="50"/>
      <c r="L3" s="2"/>
    </row>
    <row r="4" spans="1:13" x14ac:dyDescent="0.2">
      <c r="A4" t="s">
        <v>96</v>
      </c>
      <c r="B4" s="12"/>
      <c r="J4" s="50"/>
      <c r="L4" s="2"/>
    </row>
    <row r="5" spans="1:13" x14ac:dyDescent="0.2">
      <c r="A5" t="s">
        <v>97</v>
      </c>
      <c r="B5" s="12"/>
      <c r="J5" s="50"/>
      <c r="L5" s="2"/>
    </row>
    <row r="6" spans="1:13" x14ac:dyDescent="0.2">
      <c r="J6" s="50"/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3" ht="12" thickTop="1" x14ac:dyDescent="0.2">
      <c r="J8" s="50"/>
      <c r="L8" s="2"/>
    </row>
    <row r="9" spans="1:13" x14ac:dyDescent="0.2">
      <c r="C9" s="24" t="s">
        <v>69</v>
      </c>
      <c r="J9" s="50"/>
      <c r="L9" s="2"/>
      <c r="M9" s="27"/>
    </row>
    <row r="10" spans="1:13" x14ac:dyDescent="0.2">
      <c r="A10" t="s">
        <v>54</v>
      </c>
      <c r="J10" s="50"/>
      <c r="L10" s="2"/>
      <c r="M10" t="s">
        <v>70</v>
      </c>
    </row>
    <row r="11" spans="1:13" x14ac:dyDescent="0.2">
      <c r="A11" s="9" t="s">
        <v>55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4">
        <f>'[3]4.5'!L11</f>
        <v>12</v>
      </c>
    </row>
    <row r="12" spans="1:13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20"/>
      <c r="L12" s="2"/>
    </row>
    <row r="13" spans="1:13" x14ac:dyDescent="0.2">
      <c r="J13" s="50"/>
      <c r="L13" s="2"/>
    </row>
    <row r="14" spans="1:13" x14ac:dyDescent="0.2">
      <c r="A14" t="str">
        <f t="shared" ref="A14:A23" si="2">TEXT(A15-1,"#")</f>
        <v>2008</v>
      </c>
      <c r="B14" s="25"/>
      <c r="C14" s="84">
        <f>'[3]4.5'!C14</f>
        <v>167316</v>
      </c>
      <c r="D14" s="84">
        <f>'[3]4.5'!D14</f>
        <v>139787</v>
      </c>
      <c r="E14" s="84">
        <f>'[3]4.5'!E14</f>
        <v>106761</v>
      </c>
      <c r="F14" s="84">
        <f>'[3]4.5'!F14</f>
        <v>111632</v>
      </c>
      <c r="G14" s="84">
        <f>'[3]4.5'!G14</f>
        <v>120296</v>
      </c>
      <c r="H14" s="84">
        <f>'[3]4.5'!H14</f>
        <v>92426</v>
      </c>
      <c r="I14" s="84">
        <f>'[3]4.5'!I14</f>
        <v>99668</v>
      </c>
      <c r="J14" s="106"/>
      <c r="L14" s="2"/>
    </row>
    <row r="15" spans="1:13" x14ac:dyDescent="0.2">
      <c r="A15" t="str">
        <f t="shared" si="2"/>
        <v>2009</v>
      </c>
      <c r="B15" s="25"/>
      <c r="C15" s="84">
        <f>'[3]4.5'!C15</f>
        <v>7335</v>
      </c>
      <c r="D15" s="84">
        <f>'[3]4.5'!D15</f>
        <v>359</v>
      </c>
      <c r="E15" s="84">
        <f>'[3]4.5'!E15</f>
        <v>226</v>
      </c>
      <c r="F15" s="84">
        <f>'[3]4.5'!F15</f>
        <v>231</v>
      </c>
      <c r="G15" s="84">
        <f>'[3]4.5'!G15</f>
        <v>223</v>
      </c>
      <c r="H15" s="84">
        <f>'[3]4.5'!H15</f>
        <v>223</v>
      </c>
      <c r="I15" s="84">
        <f>'[3]4.5'!I15</f>
        <v>223</v>
      </c>
      <c r="J15" s="106"/>
      <c r="L15" s="2"/>
    </row>
    <row r="16" spans="1:13" x14ac:dyDescent="0.2">
      <c r="A16" t="str">
        <f t="shared" si="2"/>
        <v>2010</v>
      </c>
      <c r="B16" s="25"/>
      <c r="C16" s="84">
        <f>'[3]4.5'!C16</f>
        <v>391</v>
      </c>
      <c r="D16" s="84">
        <f>'[3]4.5'!D16</f>
        <v>312</v>
      </c>
      <c r="E16" s="84">
        <f>'[3]4.5'!E16</f>
        <v>322</v>
      </c>
      <c r="F16" s="84">
        <f>'[3]4.5'!F16</f>
        <v>316</v>
      </c>
      <c r="G16" s="84">
        <f>'[3]4.5'!G16</f>
        <v>335</v>
      </c>
      <c r="H16" s="84">
        <f>'[3]4.5'!H16</f>
        <v>324</v>
      </c>
      <c r="I16" s="84">
        <f>'[3]4.5'!I16</f>
        <v>323</v>
      </c>
      <c r="J16" s="106"/>
      <c r="L16" s="2"/>
    </row>
    <row r="17" spans="1:13" x14ac:dyDescent="0.2">
      <c r="A17" t="str">
        <f t="shared" si="2"/>
        <v>2011</v>
      </c>
      <c r="B17" s="25"/>
      <c r="C17" s="84">
        <f>'[3]4.5'!C17</f>
        <v>515</v>
      </c>
      <c r="D17" s="84">
        <f>'[3]4.5'!D17</f>
        <v>592</v>
      </c>
      <c r="E17" s="84">
        <f>'[3]4.5'!E17</f>
        <v>609</v>
      </c>
      <c r="F17" s="84">
        <f>'[3]4.5'!F17</f>
        <v>682</v>
      </c>
      <c r="G17" s="84">
        <f>'[3]4.5'!G17</f>
        <v>629</v>
      </c>
      <c r="H17" s="84">
        <f>'[3]4.5'!H17</f>
        <v>745</v>
      </c>
      <c r="I17" s="84">
        <f>'[3]4.5'!I17</f>
        <v>725</v>
      </c>
      <c r="J17" s="106"/>
      <c r="L17" s="2"/>
    </row>
    <row r="18" spans="1:13" x14ac:dyDescent="0.2">
      <c r="A18" t="str">
        <f t="shared" si="2"/>
        <v>2012</v>
      </c>
      <c r="B18" s="25"/>
      <c r="C18" s="84">
        <f>'[3]4.5'!C18</f>
        <v>516</v>
      </c>
      <c r="D18" s="84">
        <f>'[3]4.5'!D18</f>
        <v>679</v>
      </c>
      <c r="E18" s="84">
        <f>'[3]4.5'!E18</f>
        <v>719</v>
      </c>
      <c r="F18" s="84">
        <f>'[3]4.5'!F18</f>
        <v>632</v>
      </c>
      <c r="G18" s="84">
        <f>'[3]4.5'!G18</f>
        <v>917</v>
      </c>
      <c r="H18" s="84">
        <f>'[3]4.5'!H18</f>
        <v>880</v>
      </c>
      <c r="I18" s="84">
        <f>'[3]4.5'!I18</f>
        <v>896</v>
      </c>
      <c r="J18" s="106"/>
      <c r="L18" s="2"/>
    </row>
    <row r="19" spans="1:13" x14ac:dyDescent="0.2">
      <c r="A19" t="str">
        <f t="shared" si="2"/>
        <v>2013</v>
      </c>
      <c r="B19" s="25"/>
      <c r="C19" s="84">
        <f>'[3]4.5'!C19</f>
        <v>802</v>
      </c>
      <c r="D19" s="84">
        <f>'[3]4.5'!D19</f>
        <v>806</v>
      </c>
      <c r="E19" s="84">
        <f>'[3]4.5'!E19</f>
        <v>715</v>
      </c>
      <c r="F19" s="84">
        <f>'[3]4.5'!F19</f>
        <v>1089</v>
      </c>
      <c r="G19" s="84">
        <f>'[3]4.5'!G19</f>
        <v>991</v>
      </c>
      <c r="H19" s="84">
        <f>'[3]4.5'!H19</f>
        <v>971</v>
      </c>
      <c r="I19" s="84"/>
      <c r="J19" s="106"/>
      <c r="L19" s="2"/>
    </row>
    <row r="20" spans="1:13" x14ac:dyDescent="0.2">
      <c r="A20" t="str">
        <f t="shared" si="2"/>
        <v>2014</v>
      </c>
      <c r="B20" s="25"/>
      <c r="C20" s="84">
        <f>'[3]4.5'!C20</f>
        <v>516</v>
      </c>
      <c r="D20" s="84">
        <f>'[3]4.5'!D20</f>
        <v>493</v>
      </c>
      <c r="E20" s="84">
        <f>'[3]4.5'!E20</f>
        <v>1085</v>
      </c>
      <c r="F20" s="84">
        <f>'[3]4.5'!F20</f>
        <v>1266</v>
      </c>
      <c r="G20" s="84">
        <f>'[3]4.5'!G20</f>
        <v>1077</v>
      </c>
      <c r="H20" s="84"/>
      <c r="I20" s="84"/>
      <c r="J20" s="106"/>
      <c r="L20" s="2"/>
    </row>
    <row r="21" spans="1:13" x14ac:dyDescent="0.2">
      <c r="A21" t="str">
        <f t="shared" si="2"/>
        <v>2015</v>
      </c>
      <c r="B21" s="25"/>
      <c r="C21" s="84">
        <f>'[3]4.5'!C21</f>
        <v>973</v>
      </c>
      <c r="D21" s="84">
        <f>'[3]4.5'!D21</f>
        <v>1818</v>
      </c>
      <c r="E21" s="84">
        <f>'[3]4.5'!E21</f>
        <v>2355</v>
      </c>
      <c r="F21" s="84">
        <f>'[3]4.5'!F21</f>
        <v>2749</v>
      </c>
      <c r="G21" s="84"/>
      <c r="H21" s="84"/>
      <c r="I21" s="84"/>
      <c r="J21" s="106"/>
      <c r="L21" s="2"/>
    </row>
    <row r="22" spans="1:13" x14ac:dyDescent="0.2">
      <c r="A22" t="str">
        <f t="shared" si="2"/>
        <v>2016</v>
      </c>
      <c r="B22" s="25"/>
      <c r="C22" s="84">
        <f>'[3]4.5'!C22</f>
        <v>412</v>
      </c>
      <c r="D22" s="84">
        <f>'[3]4.5'!D22</f>
        <v>678</v>
      </c>
      <c r="E22" s="84">
        <f>'[3]4.5'!E22</f>
        <v>746</v>
      </c>
      <c r="F22" s="84"/>
      <c r="G22" s="84"/>
      <c r="H22" s="84"/>
      <c r="I22" s="84"/>
      <c r="J22" s="106"/>
      <c r="L22" s="2"/>
      <c r="M22" t="s">
        <v>222</v>
      </c>
    </row>
    <row r="23" spans="1:13" x14ac:dyDescent="0.2">
      <c r="A23" s="50" t="str">
        <f t="shared" si="2"/>
        <v>2017</v>
      </c>
      <c r="B23" s="51"/>
      <c r="C23" s="106">
        <f>'[3]4.5'!C23</f>
        <v>891</v>
      </c>
      <c r="D23" s="106">
        <f>'[3]4.5'!D23</f>
        <v>16490</v>
      </c>
      <c r="E23" s="106"/>
      <c r="F23" s="106"/>
      <c r="G23" s="106"/>
      <c r="H23" s="106"/>
      <c r="I23" s="106"/>
      <c r="J23" s="106"/>
      <c r="L23" s="2"/>
      <c r="M23" s="87">
        <f>'[3]4.5'!L23</f>
        <v>43465</v>
      </c>
    </row>
    <row r="24" spans="1:13" x14ac:dyDescent="0.2">
      <c r="A24" s="50" t="str">
        <f>TEXT(YEAR($M$23),"#")</f>
        <v>2018</v>
      </c>
      <c r="B24" s="51"/>
      <c r="C24" s="106">
        <f>'[3]4.5'!C24</f>
        <v>301</v>
      </c>
      <c r="D24" s="106"/>
      <c r="E24" s="106"/>
      <c r="F24" s="106"/>
      <c r="G24" s="106"/>
      <c r="H24" s="106"/>
      <c r="I24" s="106"/>
      <c r="J24" s="106"/>
      <c r="L24" s="2"/>
      <c r="M24" s="87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J25" s="50"/>
      <c r="L25" s="2"/>
    </row>
    <row r="26" spans="1:13" x14ac:dyDescent="0.2">
      <c r="J26" s="50"/>
      <c r="L26" s="2"/>
    </row>
    <row r="27" spans="1:13" x14ac:dyDescent="0.2">
      <c r="B27" s="22"/>
      <c r="C27" s="24" t="s">
        <v>71</v>
      </c>
      <c r="J27" s="50"/>
      <c r="L27" s="2"/>
    </row>
    <row r="28" spans="1:13" x14ac:dyDescent="0.2">
      <c r="A28" t="s">
        <v>54</v>
      </c>
      <c r="J28" s="50"/>
      <c r="L28" s="2"/>
    </row>
    <row r="29" spans="1:13" x14ac:dyDescent="0.2">
      <c r="A29" s="9" t="s">
        <v>55</v>
      </c>
      <c r="B29" s="9"/>
      <c r="C29" s="9" t="str">
        <f t="shared" ref="C29:H29" si="3">C11&amp;" - "&amp;D11</f>
        <v>12 - 24</v>
      </c>
      <c r="D29" s="9" t="str">
        <f t="shared" si="3"/>
        <v>24 - 36</v>
      </c>
      <c r="E29" s="9" t="str">
        <f t="shared" si="3"/>
        <v>36 - 48</v>
      </c>
      <c r="F29" s="9" t="str">
        <f t="shared" si="3"/>
        <v>48 - 60</v>
      </c>
      <c r="G29" s="9" t="str">
        <f t="shared" si="3"/>
        <v>60 - 72</v>
      </c>
      <c r="H29" s="9" t="str">
        <f t="shared" si="3"/>
        <v>72 - 84</v>
      </c>
      <c r="I29" s="9" t="str">
        <f>I11&amp;" - Ult"</f>
        <v>84 - Ult</v>
      </c>
      <c r="J29" s="50"/>
      <c r="L29" s="2"/>
    </row>
    <row r="30" spans="1:13" x14ac:dyDescent="0.2">
      <c r="A30" s="13" t="str">
        <f>TEXT(COLUMN(),"(#)")</f>
        <v>(1)</v>
      </c>
      <c r="B30" s="13"/>
      <c r="C30" s="11" t="str">
        <f t="shared" ref="C30:I30" si="4">TEXT(COLUMN()-1,"(#)")</f>
        <v>(2)</v>
      </c>
      <c r="D30" s="11" t="str">
        <f t="shared" si="4"/>
        <v>(3)</v>
      </c>
      <c r="E30" s="11" t="str">
        <f t="shared" si="4"/>
        <v>(4)</v>
      </c>
      <c r="F30" s="11" t="str">
        <f t="shared" si="4"/>
        <v>(5)</v>
      </c>
      <c r="G30" s="11" t="str">
        <f t="shared" si="4"/>
        <v>(6)</v>
      </c>
      <c r="H30" s="11" t="str">
        <f t="shared" si="4"/>
        <v>(7)</v>
      </c>
      <c r="I30" s="11" t="str">
        <f t="shared" si="4"/>
        <v>(8)</v>
      </c>
      <c r="J30" s="120"/>
      <c r="L30" s="2"/>
    </row>
    <row r="31" spans="1:13" x14ac:dyDescent="0.2">
      <c r="J31" s="50"/>
      <c r="L31" s="2"/>
    </row>
    <row r="32" spans="1:13" x14ac:dyDescent="0.2">
      <c r="A32" t="str">
        <f t="shared" ref="A32:A41" si="5">A14</f>
        <v>2008</v>
      </c>
      <c r="B32" s="25"/>
      <c r="C32" s="39">
        <f t="shared" ref="C32:H40" si="6">IF(ISNUMBER(D14),D14/C14,"")</f>
        <v>0.83546702048817811</v>
      </c>
      <c r="D32" s="39">
        <f t="shared" si="6"/>
        <v>0.76374054811963921</v>
      </c>
      <c r="E32" s="39">
        <f t="shared" si="6"/>
        <v>1.0456252751472916</v>
      </c>
      <c r="F32" s="39">
        <f t="shared" si="6"/>
        <v>1.077612154221012</v>
      </c>
      <c r="G32" s="39">
        <f t="shared" si="6"/>
        <v>0.76832147369821113</v>
      </c>
      <c r="H32" s="39">
        <f t="shared" si="6"/>
        <v>1.0783545755523338</v>
      </c>
      <c r="I32" s="39" t="str">
        <f>IF(ISNUMBER(#REF!),#REF!/I14,"")</f>
        <v/>
      </c>
      <c r="J32" s="167"/>
      <c r="L32" s="2"/>
    </row>
    <row r="33" spans="1:12" x14ac:dyDescent="0.2">
      <c r="A33" t="str">
        <f t="shared" si="5"/>
        <v>2009</v>
      </c>
      <c r="B33" s="25"/>
      <c r="C33" s="39">
        <f t="shared" si="6"/>
        <v>4.894342194955692E-2</v>
      </c>
      <c r="D33" s="39">
        <f t="shared" si="6"/>
        <v>0.62952646239554322</v>
      </c>
      <c r="E33" s="39">
        <f t="shared" si="6"/>
        <v>1.0221238938053097</v>
      </c>
      <c r="F33" s="39">
        <f t="shared" si="6"/>
        <v>0.96536796536796532</v>
      </c>
      <c r="G33" s="39">
        <f t="shared" si="6"/>
        <v>1</v>
      </c>
      <c r="H33" s="39">
        <f t="shared" si="6"/>
        <v>1</v>
      </c>
      <c r="I33" s="39" t="str">
        <f>IF(ISNUMBER(#REF!),#REF!/I15,"")</f>
        <v/>
      </c>
      <c r="J33" s="167"/>
      <c r="L33" s="2"/>
    </row>
    <row r="34" spans="1:12" x14ac:dyDescent="0.2">
      <c r="A34" t="str">
        <f t="shared" si="5"/>
        <v>2010</v>
      </c>
      <c r="B34" s="25"/>
      <c r="C34" s="39">
        <f t="shared" si="6"/>
        <v>0.79795396419437337</v>
      </c>
      <c r="D34" s="39">
        <f t="shared" si="6"/>
        <v>1.0320512820512822</v>
      </c>
      <c r="E34" s="39">
        <f t="shared" si="6"/>
        <v>0.98136645962732916</v>
      </c>
      <c r="F34" s="39">
        <f t="shared" si="6"/>
        <v>1.0601265822784811</v>
      </c>
      <c r="G34" s="39">
        <f t="shared" si="6"/>
        <v>0.96716417910447761</v>
      </c>
      <c r="H34" s="39">
        <f t="shared" si="6"/>
        <v>0.99691358024691357</v>
      </c>
      <c r="I34" s="39" t="str">
        <f>IF(ISNUMBER(#REF!),#REF!/I16,"")</f>
        <v/>
      </c>
      <c r="J34" s="167"/>
      <c r="L34" s="2"/>
    </row>
    <row r="35" spans="1:12" x14ac:dyDescent="0.2">
      <c r="A35" t="str">
        <f t="shared" si="5"/>
        <v>2011</v>
      </c>
      <c r="B35" s="25"/>
      <c r="C35" s="39">
        <f t="shared" si="6"/>
        <v>1.149514563106796</v>
      </c>
      <c r="D35" s="39">
        <f t="shared" si="6"/>
        <v>1.0287162162162162</v>
      </c>
      <c r="E35" s="39">
        <f t="shared" si="6"/>
        <v>1.1198686371100164</v>
      </c>
      <c r="F35" s="39">
        <f t="shared" si="6"/>
        <v>0.92228739002932547</v>
      </c>
      <c r="G35" s="39">
        <f t="shared" si="6"/>
        <v>1.1844197138314785</v>
      </c>
      <c r="H35" s="39">
        <f t="shared" si="6"/>
        <v>0.97315436241610742</v>
      </c>
      <c r="I35" s="39" t="str">
        <f>IF(ISNUMBER(#REF!),#REF!/I17,"")</f>
        <v/>
      </c>
      <c r="J35" s="167"/>
      <c r="L35" s="2"/>
    </row>
    <row r="36" spans="1:12" x14ac:dyDescent="0.2">
      <c r="A36" t="str">
        <f t="shared" si="5"/>
        <v>2012</v>
      </c>
      <c r="B36" s="25"/>
      <c r="C36" s="39">
        <f t="shared" si="6"/>
        <v>1.3158914728682169</v>
      </c>
      <c r="D36" s="39">
        <f t="shared" si="6"/>
        <v>1.0589101620029455</v>
      </c>
      <c r="E36" s="39">
        <f t="shared" si="6"/>
        <v>0.87899860917941586</v>
      </c>
      <c r="F36" s="39">
        <f t="shared" si="6"/>
        <v>1.4509493670886076</v>
      </c>
      <c r="G36" s="39">
        <f t="shared" si="6"/>
        <v>0.95965103598691381</v>
      </c>
      <c r="H36" s="39">
        <f t="shared" si="6"/>
        <v>1.0181818181818181</v>
      </c>
      <c r="I36" s="39" t="str">
        <f>IF(ISNUMBER(#REF!),#REF!/I18,"")</f>
        <v/>
      </c>
      <c r="J36" s="167"/>
      <c r="L36" s="2"/>
    </row>
    <row r="37" spans="1:12" x14ac:dyDescent="0.2">
      <c r="A37" t="str">
        <f t="shared" si="5"/>
        <v>2013</v>
      </c>
      <c r="B37" s="25"/>
      <c r="C37" s="39">
        <f t="shared" si="6"/>
        <v>1.0049875311720697</v>
      </c>
      <c r="D37" s="39">
        <f t="shared" si="6"/>
        <v>0.88709677419354838</v>
      </c>
      <c r="E37" s="39">
        <f t="shared" si="6"/>
        <v>1.523076923076923</v>
      </c>
      <c r="F37" s="39">
        <f t="shared" si="6"/>
        <v>0.91000918273645548</v>
      </c>
      <c r="G37" s="39">
        <f t="shared" si="6"/>
        <v>0.97981836528758826</v>
      </c>
      <c r="H37" s="39" t="str">
        <f t="shared" si="6"/>
        <v/>
      </c>
      <c r="I37" s="39" t="str">
        <f>IF(ISNUMBER(#REF!),#REF!/I19,"")</f>
        <v/>
      </c>
      <c r="J37" s="167"/>
      <c r="L37" s="2"/>
    </row>
    <row r="38" spans="1:12" x14ac:dyDescent="0.2">
      <c r="A38" t="str">
        <f t="shared" si="5"/>
        <v>2014</v>
      </c>
      <c r="B38" s="25"/>
      <c r="C38" s="39">
        <f t="shared" si="6"/>
        <v>0.95542635658914732</v>
      </c>
      <c r="D38" s="39">
        <f t="shared" si="6"/>
        <v>2.2008113590263694</v>
      </c>
      <c r="E38" s="39">
        <f t="shared" si="6"/>
        <v>1.1668202764976958</v>
      </c>
      <c r="F38" s="39">
        <f t="shared" si="6"/>
        <v>0.85071090047393361</v>
      </c>
      <c r="G38" s="39" t="str">
        <f t="shared" si="6"/>
        <v/>
      </c>
      <c r="H38" s="39" t="str">
        <f t="shared" si="6"/>
        <v/>
      </c>
      <c r="I38" s="39" t="str">
        <f>IF(ISNUMBER(#REF!),#REF!/I20,"")</f>
        <v/>
      </c>
      <c r="J38" s="167"/>
      <c r="L38" s="2"/>
    </row>
    <row r="39" spans="1:12" x14ac:dyDescent="0.2">
      <c r="A39" t="str">
        <f t="shared" si="5"/>
        <v>2015</v>
      </c>
      <c r="B39" s="25"/>
      <c r="C39" s="39">
        <f t="shared" si="6"/>
        <v>1.868448098663926</v>
      </c>
      <c r="D39" s="39">
        <f t="shared" si="6"/>
        <v>1.2953795379537953</v>
      </c>
      <c r="E39" s="39">
        <f t="shared" si="6"/>
        <v>1.1673036093418259</v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IF(ISNUMBER(#REF!),#REF!/I21,"")</f>
        <v/>
      </c>
      <c r="J39" s="167"/>
      <c r="L39" s="2"/>
    </row>
    <row r="40" spans="1:12" x14ac:dyDescent="0.2">
      <c r="A40" s="50" t="str">
        <f t="shared" si="5"/>
        <v>2016</v>
      </c>
      <c r="B40" s="51"/>
      <c r="C40" s="167">
        <f t="shared" si="6"/>
        <v>1.645631067961165</v>
      </c>
      <c r="D40" s="167">
        <f t="shared" si="6"/>
        <v>1.1002949852507375</v>
      </c>
      <c r="E40" s="167" t="str">
        <f t="shared" si="6"/>
        <v/>
      </c>
      <c r="F40" s="167" t="str">
        <f t="shared" si="6"/>
        <v/>
      </c>
      <c r="G40" s="167" t="str">
        <f t="shared" si="6"/>
        <v/>
      </c>
      <c r="H40" s="167" t="str">
        <f t="shared" si="6"/>
        <v/>
      </c>
      <c r="I40" s="167" t="str">
        <f>IF(ISNUMBER(#REF!),#REF!/I22,"")</f>
        <v/>
      </c>
      <c r="J40" s="167"/>
      <c r="L40" s="2"/>
    </row>
    <row r="41" spans="1:12" x14ac:dyDescent="0.2">
      <c r="A41" s="50" t="str">
        <f t="shared" si="5"/>
        <v>2017</v>
      </c>
      <c r="B41" s="51"/>
      <c r="C41" s="167">
        <f>IF(ISNUMBER(D23),D23/C23,"")</f>
        <v>18.50729517396184</v>
      </c>
      <c r="D41" s="167"/>
      <c r="E41" s="167"/>
      <c r="F41" s="167"/>
      <c r="G41" s="167"/>
      <c r="H41" s="167"/>
      <c r="I41" s="167"/>
      <c r="J41" s="167"/>
      <c r="L41" s="2"/>
    </row>
    <row r="42" spans="1:12" x14ac:dyDescent="0.2">
      <c r="A42" s="9"/>
      <c r="B42" s="26"/>
      <c r="C42" s="40"/>
      <c r="D42" s="40"/>
      <c r="E42" s="40"/>
      <c r="F42" s="40"/>
      <c r="G42" s="40"/>
      <c r="H42" s="40"/>
      <c r="I42" s="40"/>
      <c r="J42" s="50"/>
      <c r="L42" s="2"/>
    </row>
    <row r="43" spans="1:12" x14ac:dyDescent="0.2">
      <c r="J43" s="168"/>
      <c r="L43" s="2"/>
    </row>
    <row r="44" spans="1:12" x14ac:dyDescent="0.2">
      <c r="A44" t="s">
        <v>72</v>
      </c>
      <c r="B44" s="25"/>
      <c r="C44" s="41">
        <f t="shared" ref="C44:H44" si="7">AVERAGE(C32:C41)</f>
        <v>2.812955867095527</v>
      </c>
      <c r="D44" s="41">
        <f t="shared" si="7"/>
        <v>1.1107252585788974</v>
      </c>
      <c r="E44" s="41">
        <f t="shared" si="7"/>
        <v>1.1131479604732257</v>
      </c>
      <c r="F44" s="41">
        <f t="shared" si="7"/>
        <v>1.033866220313683</v>
      </c>
      <c r="G44" s="41">
        <f t="shared" si="7"/>
        <v>0.97656246131811164</v>
      </c>
      <c r="H44" s="41">
        <f t="shared" si="7"/>
        <v>1.0133208672794347</v>
      </c>
      <c r="I44" s="41"/>
      <c r="J44" s="50"/>
      <c r="L44" s="2"/>
    </row>
    <row r="45" spans="1:12" x14ac:dyDescent="0.2">
      <c r="A45" t="s">
        <v>98</v>
      </c>
      <c r="B45" s="22"/>
      <c r="C45" s="43">
        <f t="shared" ref="C45:H45" si="8">(SUM(C32:C41)-MAX(C32:C41)-MIN(C32:C41))/(COUNT(C32:C41)-2)</f>
        <v>1.196665009380484</v>
      </c>
      <c r="D45" s="43">
        <f t="shared" si="8"/>
        <v>1.0237413579697376</v>
      </c>
      <c r="E45" s="43">
        <f t="shared" si="8"/>
        <v>1.0838513585882446</v>
      </c>
      <c r="F45" s="43">
        <f t="shared" si="8"/>
        <v>0.98708065492664809</v>
      </c>
      <c r="G45" s="43">
        <f t="shared" si="8"/>
        <v>0.97665839509474506</v>
      </c>
      <c r="H45" s="43">
        <f t="shared" si="8"/>
        <v>1.0050317994762439</v>
      </c>
      <c r="J45" s="50"/>
      <c r="L45" s="2"/>
    </row>
    <row r="46" spans="1:12" x14ac:dyDescent="0.2">
      <c r="A46" t="s">
        <v>99</v>
      </c>
      <c r="C46" s="41">
        <f>AVERAGE(C39:C41)</f>
        <v>7.3404581135289773</v>
      </c>
      <c r="D46" s="41">
        <f>AVERAGE(D38:D40)</f>
        <v>1.5321619607436341</v>
      </c>
      <c r="E46" s="41">
        <f>AVERAGE(E37:E39)</f>
        <v>1.2857336029721482</v>
      </c>
      <c r="F46" s="41">
        <f>AVERAGE(F36:F38)</f>
        <v>1.0705564834329988</v>
      </c>
      <c r="G46" s="41">
        <f>AVERAGE(G35:G37)</f>
        <v>1.0412963717019936</v>
      </c>
      <c r="H46" s="41">
        <f>AVERAGE(H34:H36)</f>
        <v>0.99608325361494643</v>
      </c>
      <c r="J46" s="168"/>
      <c r="L46" s="2"/>
    </row>
    <row r="47" spans="1:12" x14ac:dyDescent="0.2">
      <c r="A47" t="s">
        <v>73</v>
      </c>
      <c r="B47" s="25"/>
      <c r="C47" s="41">
        <f>AVERAGE(C37:C41)</f>
        <v>4.7963576456696293</v>
      </c>
      <c r="D47" s="41">
        <f>AVERAGE(D36:D40)</f>
        <v>1.3084985636854793</v>
      </c>
      <c r="E47" s="41">
        <f>AVERAGE(E35:E39)</f>
        <v>1.1712136110411753</v>
      </c>
      <c r="F47" s="41">
        <f>AVERAGE(F34:F38)</f>
        <v>1.0388166845213607</v>
      </c>
      <c r="G47" s="41">
        <f>AVERAGE(G33:G37)</f>
        <v>1.0182106588420916</v>
      </c>
      <c r="H47" s="41">
        <f>AVERAGE(H32:H36)</f>
        <v>1.0133208672794347</v>
      </c>
      <c r="I47" s="41"/>
      <c r="J47" s="169"/>
      <c r="L47" s="2"/>
    </row>
    <row r="48" spans="1:12" x14ac:dyDescent="0.2">
      <c r="A48" s="62" t="s">
        <v>270</v>
      </c>
      <c r="B48" s="62"/>
      <c r="C48" s="233">
        <v>1.1499999999999999</v>
      </c>
      <c r="D48" s="233">
        <v>1.03</v>
      </c>
      <c r="E48" s="233">
        <v>1.1000000000000001</v>
      </c>
      <c r="F48" s="233">
        <v>1.0549999999999999</v>
      </c>
      <c r="G48" s="233">
        <v>0.99299999999999999</v>
      </c>
      <c r="H48" s="233">
        <v>1.0249999999999999</v>
      </c>
      <c r="I48" s="233">
        <v>1</v>
      </c>
      <c r="J48" s="170"/>
      <c r="L48" s="2"/>
    </row>
    <row r="49" spans="1:12" x14ac:dyDescent="0.2">
      <c r="A49" t="s">
        <v>74</v>
      </c>
      <c r="C49" s="98">
        <f>'[3]4.5'!C48</f>
        <v>1.1499999999999999</v>
      </c>
      <c r="D49" s="98">
        <f>'[3]4.5'!D48</f>
        <v>1.03</v>
      </c>
      <c r="E49" s="98">
        <f>'[3]4.5'!E48</f>
        <v>1.151</v>
      </c>
      <c r="F49" s="98">
        <f>'[3]4.5'!F48</f>
        <v>1.0369999999999999</v>
      </c>
      <c r="G49" s="98">
        <f>'[3]4.5'!G48</f>
        <v>1.0009999999999999</v>
      </c>
      <c r="H49" s="98">
        <f>'[3]4.5'!H48</f>
        <v>1.0069999999999999</v>
      </c>
      <c r="I49" s="98">
        <f>'[3]4.5'!I48</f>
        <v>1</v>
      </c>
      <c r="J49" s="108"/>
      <c r="L49" s="2"/>
    </row>
    <row r="50" spans="1:12" x14ac:dyDescent="0.2">
      <c r="A50" t="s">
        <v>75</v>
      </c>
      <c r="C50" s="43">
        <f t="shared" ref="C50:H50" si="9">ROUND(C49*D50,3)</f>
        <v>1.425</v>
      </c>
      <c r="D50" s="43">
        <f t="shared" si="9"/>
        <v>1.2390000000000001</v>
      </c>
      <c r="E50" s="43">
        <f t="shared" si="9"/>
        <v>1.2030000000000001</v>
      </c>
      <c r="F50" s="43">
        <f t="shared" si="9"/>
        <v>1.0449999999999999</v>
      </c>
      <c r="G50" s="43">
        <f t="shared" si="9"/>
        <v>1.008</v>
      </c>
      <c r="H50" s="43">
        <f t="shared" si="9"/>
        <v>1.0069999999999999</v>
      </c>
      <c r="I50" s="43">
        <f>I49</f>
        <v>1</v>
      </c>
      <c r="J50" s="50"/>
      <c r="L50" s="2"/>
    </row>
    <row r="51" spans="1:12" ht="12" thickBot="1" x14ac:dyDescent="0.25">
      <c r="A51" s="6"/>
      <c r="B51" s="6"/>
      <c r="C51" s="6"/>
      <c r="D51" s="6"/>
      <c r="E51" s="6"/>
      <c r="F51" s="6"/>
      <c r="G51" s="6"/>
      <c r="H51" s="6"/>
      <c r="I51" s="6"/>
      <c r="J51" s="50"/>
      <c r="L51" s="2"/>
    </row>
    <row r="52" spans="1:12" ht="12" thickTop="1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J64" s="50"/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69"/>
  <sheetViews>
    <sheetView topLeftCell="A13" zoomScaleNormal="100" workbookViewId="0">
      <selection activeCell="E33" sqref="E33"/>
    </sheetView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6" width="9.6640625" customWidth="1"/>
    <col min="7" max="7" width="11.1640625" customWidth="1"/>
    <col min="8" max="8" width="9.6640625" customWidth="1"/>
    <col min="9" max="10" width="11.33203125" customWidth="1"/>
    <col min="11" max="11" width="3.6640625" customWidth="1"/>
    <col min="13" max="13" width="2.33203125" customWidth="1"/>
  </cols>
  <sheetData>
    <row r="1" spans="1:20" x14ac:dyDescent="0.2">
      <c r="A1" s="8" t="s">
        <v>0</v>
      </c>
      <c r="B1" s="101"/>
      <c r="K1" s="7" t="s">
        <v>5</v>
      </c>
      <c r="L1" s="1"/>
    </row>
    <row r="2" spans="1:20" x14ac:dyDescent="0.2">
      <c r="A2" s="8" t="s">
        <v>1</v>
      </c>
      <c r="B2" s="101"/>
      <c r="H2" s="7"/>
      <c r="I2" s="7"/>
      <c r="J2" s="7"/>
      <c r="K2" s="134"/>
      <c r="L2" s="2"/>
    </row>
    <row r="3" spans="1:20" x14ac:dyDescent="0.2">
      <c r="A3" s="8" t="s">
        <v>2</v>
      </c>
      <c r="B3" s="101"/>
      <c r="L3" s="2"/>
    </row>
    <row r="4" spans="1:20" x14ac:dyDescent="0.2">
      <c r="A4" t="s">
        <v>3</v>
      </c>
      <c r="B4" s="101"/>
      <c r="L4" s="2"/>
    </row>
    <row r="5" spans="1:20" x14ac:dyDescent="0.2">
      <c r="A5" t="s">
        <v>4</v>
      </c>
      <c r="B5" s="101"/>
      <c r="L5" s="2"/>
    </row>
    <row r="6" spans="1:20" x14ac:dyDescent="0.2">
      <c r="L6" s="2"/>
    </row>
    <row r="7" spans="1:20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K7" s="50"/>
      <c r="L7" s="2"/>
      <c r="N7" t="s">
        <v>358</v>
      </c>
    </row>
    <row r="8" spans="1:20" ht="12" thickTop="1" x14ac:dyDescent="0.2">
      <c r="L8" s="2"/>
    </row>
    <row r="9" spans="1:20" x14ac:dyDescent="0.2">
      <c r="C9" s="10" t="s">
        <v>7</v>
      </c>
      <c r="H9" t="s">
        <v>13</v>
      </c>
      <c r="I9" t="s">
        <v>307</v>
      </c>
      <c r="L9" s="2"/>
      <c r="N9" s="10" t="s">
        <v>7</v>
      </c>
      <c r="R9" t="s">
        <v>228</v>
      </c>
      <c r="S9" t="s">
        <v>13</v>
      </c>
      <c r="T9" s="51" t="s">
        <v>344</v>
      </c>
    </row>
    <row r="10" spans="1:20" x14ac:dyDescent="0.2">
      <c r="E10" t="s">
        <v>229</v>
      </c>
      <c r="G10" t="s">
        <v>10</v>
      </c>
      <c r="H10" t="s">
        <v>14</v>
      </c>
      <c r="I10" t="s">
        <v>14</v>
      </c>
      <c r="L10" s="2"/>
      <c r="P10" t="s">
        <v>229</v>
      </c>
      <c r="R10" t="s">
        <v>10</v>
      </c>
      <c r="S10" t="s">
        <v>14</v>
      </c>
      <c r="T10" s="51" t="s">
        <v>14</v>
      </c>
    </row>
    <row r="11" spans="1:20" x14ac:dyDescent="0.2">
      <c r="A11" s="9" t="s">
        <v>17</v>
      </c>
      <c r="B11" s="9"/>
      <c r="C11" s="9" t="s">
        <v>6</v>
      </c>
      <c r="D11" s="9" t="s">
        <v>8</v>
      </c>
      <c r="E11" s="9" t="s">
        <v>230</v>
      </c>
      <c r="F11" s="9" t="s">
        <v>9</v>
      </c>
      <c r="G11" s="9" t="s">
        <v>231</v>
      </c>
      <c r="H11" s="9" t="s">
        <v>15</v>
      </c>
      <c r="I11" s="9" t="s">
        <v>15</v>
      </c>
      <c r="J11" s="50"/>
      <c r="K11" s="50"/>
      <c r="L11" s="2"/>
      <c r="N11" s="9" t="s">
        <v>6</v>
      </c>
      <c r="O11" s="9" t="s">
        <v>8</v>
      </c>
      <c r="P11" s="9" t="s">
        <v>230</v>
      </c>
      <c r="Q11" s="9" t="s">
        <v>9</v>
      </c>
      <c r="R11" s="9" t="s">
        <v>231</v>
      </c>
      <c r="S11" s="9" t="s">
        <v>15</v>
      </c>
      <c r="T11" s="26" t="s">
        <v>15</v>
      </c>
    </row>
    <row r="12" spans="1:20" x14ac:dyDescent="0.2">
      <c r="A12" s="13" t="str">
        <f>TEXT(COLUMN(),"(#)")</f>
        <v>(1)</v>
      </c>
      <c r="B12" s="13"/>
      <c r="C12" s="11" t="str">
        <f t="shared" ref="C12:I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/>
      <c r="K12" s="11"/>
      <c r="L12" s="2"/>
      <c r="N12" t="s">
        <v>193</v>
      </c>
      <c r="O12" t="s">
        <v>194</v>
      </c>
      <c r="P12" t="s">
        <v>144</v>
      </c>
      <c r="Q12" t="s">
        <v>123</v>
      </c>
      <c r="R12" t="s">
        <v>127</v>
      </c>
      <c r="S12" t="s">
        <v>126</v>
      </c>
      <c r="T12" t="s">
        <v>125</v>
      </c>
    </row>
    <row r="13" spans="1:20" x14ac:dyDescent="0.2">
      <c r="L13" s="2"/>
    </row>
    <row r="14" spans="1:20" x14ac:dyDescent="0.2">
      <c r="L14" s="2"/>
    </row>
    <row r="15" spans="1:20" x14ac:dyDescent="0.2">
      <c r="B15" t="s">
        <v>306</v>
      </c>
      <c r="C15" s="20">
        <f>AVERAGE(C19:C21)</f>
        <v>0.47050000000000003</v>
      </c>
      <c r="D15" s="23">
        <f>D$19</f>
        <v>0.14199999999999999</v>
      </c>
      <c r="E15" s="23">
        <f>E$19</f>
        <v>0.47893085671284397</v>
      </c>
      <c r="F15" s="18">
        <f>C15+D15+E15</f>
        <v>1.0914308567128441</v>
      </c>
      <c r="G15" s="23">
        <f>G$19</f>
        <v>0.77</v>
      </c>
      <c r="H15" s="310">
        <f>ROUND(F15/G15-1,2)</f>
        <v>0.42</v>
      </c>
      <c r="I15" s="197"/>
      <c r="L15" s="2"/>
      <c r="N15" s="209">
        <v>0.46150000000000002</v>
      </c>
      <c r="O15" s="210">
        <v>0.154</v>
      </c>
      <c r="P15" s="210">
        <v>0.40300000000000002</v>
      </c>
      <c r="Q15" s="211">
        <v>1.0185</v>
      </c>
      <c r="R15" s="210">
        <v>0.77</v>
      </c>
      <c r="S15" s="212">
        <v>0.32</v>
      </c>
      <c r="T15">
        <v>0</v>
      </c>
    </row>
    <row r="16" spans="1:20" x14ac:dyDescent="0.2">
      <c r="A16" s="9"/>
      <c r="B16" s="190"/>
      <c r="C16" s="89"/>
      <c r="D16" s="89"/>
      <c r="E16" s="89"/>
      <c r="F16" s="191"/>
      <c r="G16" s="89"/>
      <c r="H16" s="192"/>
      <c r="I16" s="192"/>
      <c r="J16" s="16"/>
      <c r="K16" s="16"/>
      <c r="L16" s="2"/>
      <c r="N16" s="89"/>
      <c r="O16" s="89"/>
      <c r="P16" s="89"/>
      <c r="Q16" s="191"/>
      <c r="R16" s="89"/>
      <c r="S16" s="192"/>
    </row>
    <row r="17" spans="1:19" x14ac:dyDescent="0.2">
      <c r="C17" s="12"/>
      <c r="D17" s="22"/>
      <c r="L17" s="2"/>
      <c r="N17" s="12"/>
      <c r="O17" s="12"/>
    </row>
    <row r="18" spans="1:19" x14ac:dyDescent="0.2">
      <c r="C18" s="18"/>
      <c r="D18" s="23"/>
      <c r="E18" s="14"/>
      <c r="F18" s="14"/>
      <c r="G18" s="14"/>
      <c r="H18" s="15"/>
      <c r="I18" s="15"/>
      <c r="J18" s="15"/>
      <c r="K18" s="15"/>
      <c r="L18" s="2"/>
      <c r="N18" s="18"/>
      <c r="O18" s="18"/>
      <c r="P18" s="14"/>
      <c r="Q18" s="14"/>
      <c r="R18" s="14"/>
      <c r="S18" s="15"/>
    </row>
    <row r="19" spans="1:19" x14ac:dyDescent="0.2">
      <c r="B19" t="s">
        <v>282</v>
      </c>
      <c r="C19" s="23">
        <f>'5'!$E$14</f>
        <v>0.42199999999999999</v>
      </c>
      <c r="D19" s="23">
        <f>'2.1'!$E$19</f>
        <v>0.14199999999999999</v>
      </c>
      <c r="E19" s="23">
        <f>'11.1'!$G$42</f>
        <v>0.47893085671284397</v>
      </c>
      <c r="F19" s="18">
        <f>C19+D19+E19</f>
        <v>1.0429308567128439</v>
      </c>
      <c r="G19" s="23">
        <f>'11.1'!$G$48</f>
        <v>0.77</v>
      </c>
      <c r="H19" s="16">
        <f>ROUND(F19/G19-1,2)</f>
        <v>0.35</v>
      </c>
      <c r="I19" s="16"/>
      <c r="J19" s="16"/>
      <c r="K19" s="16"/>
      <c r="L19" s="2"/>
      <c r="N19" s="210">
        <v>0.41499999999999998</v>
      </c>
      <c r="O19" s="210">
        <v>0.154</v>
      </c>
      <c r="P19" s="210">
        <v>0.40300000000000002</v>
      </c>
      <c r="Q19" s="211">
        <v>0.97199999999999998</v>
      </c>
      <c r="R19" s="210">
        <v>0.77</v>
      </c>
      <c r="S19" s="212"/>
    </row>
    <row r="20" spans="1:19" x14ac:dyDescent="0.2">
      <c r="C20" s="12"/>
      <c r="D20" s="22"/>
      <c r="L20" s="2"/>
      <c r="N20" s="12"/>
      <c r="O20" s="12"/>
    </row>
    <row r="21" spans="1:19" x14ac:dyDescent="0.2">
      <c r="B21" t="s">
        <v>16</v>
      </c>
      <c r="C21" s="23">
        <f>'5'!$E$20</f>
        <v>0.51900000000000002</v>
      </c>
      <c r="D21" s="23">
        <f>D$19</f>
        <v>0.14199999999999999</v>
      </c>
      <c r="E21" s="23">
        <f>E$19</f>
        <v>0.47893085671284397</v>
      </c>
      <c r="F21" s="18">
        <f>C21+D21+E21</f>
        <v>1.1399308567128439</v>
      </c>
      <c r="G21" s="23">
        <f>G$19</f>
        <v>0.77</v>
      </c>
      <c r="H21" s="16">
        <f>ROUND(F21/G21-1,2)</f>
        <v>0.48</v>
      </c>
      <c r="I21" s="16"/>
      <c r="J21" s="16"/>
      <c r="K21" s="16"/>
      <c r="L21" s="2"/>
      <c r="N21" s="210">
        <v>0.50800000000000001</v>
      </c>
      <c r="O21" s="210">
        <v>0.154</v>
      </c>
      <c r="P21" s="210">
        <v>0.40300000000000002</v>
      </c>
      <c r="Q21" s="211">
        <v>1.0649999999999999</v>
      </c>
      <c r="R21" s="210">
        <v>0.77</v>
      </c>
      <c r="S21" s="212"/>
    </row>
    <row r="22" spans="1:19" x14ac:dyDescent="0.2">
      <c r="L22" s="2"/>
    </row>
    <row r="23" spans="1:19" ht="12" thickBot="1" x14ac:dyDescent="0.25">
      <c r="A23" s="6"/>
      <c r="B23" s="6"/>
      <c r="C23" s="6"/>
      <c r="D23" s="6"/>
      <c r="E23" s="6"/>
      <c r="F23" s="6"/>
      <c r="G23" s="6"/>
      <c r="H23" s="6"/>
      <c r="I23" s="6"/>
      <c r="J23" s="50"/>
      <c r="K23" s="50"/>
      <c r="L23" s="2"/>
    </row>
    <row r="24" spans="1:19" ht="12" thickTop="1" x14ac:dyDescent="0.2">
      <c r="L24" s="2"/>
    </row>
    <row r="25" spans="1:19" x14ac:dyDescent="0.2">
      <c r="A25" t="s">
        <v>18</v>
      </c>
      <c r="L25" s="2"/>
      <c r="M25" s="23"/>
    </row>
    <row r="26" spans="1:19" x14ac:dyDescent="0.2">
      <c r="B26" s="22" t="str">
        <f>C12&amp;" "&amp;'5'!$H$1</f>
        <v>(2) Exhibit 5</v>
      </c>
      <c r="L26" s="2"/>
      <c r="M26" s="12"/>
    </row>
    <row r="27" spans="1:19" x14ac:dyDescent="0.2">
      <c r="B27" s="22" t="str">
        <f>D12&amp;" "&amp;'2.1'!$J$1&amp;", "&amp;'2.1'!$J$2</f>
        <v>(3) Exhibit 2, Sheet 1</v>
      </c>
      <c r="L27" s="2"/>
    </row>
    <row r="28" spans="1:19" x14ac:dyDescent="0.2">
      <c r="B28" s="22" t="str">
        <f>E12&amp;" "&amp;'[1]11.1'!$J$1 &amp; ", "&amp; '[1]11.1'!$J$2</f>
        <v>(4) Exhibit 11, Sheet 1</v>
      </c>
      <c r="L28" s="2"/>
      <c r="M28" s="12"/>
    </row>
    <row r="29" spans="1:19" x14ac:dyDescent="0.2">
      <c r="B29" s="102" t="str">
        <f>F12&amp;" = "&amp;C12&amp;" + "&amp;D12&amp;" + "&amp;E12</f>
        <v>(5) = (2) + (3) + (4)</v>
      </c>
      <c r="L29" s="2"/>
    </row>
    <row r="30" spans="1:19" x14ac:dyDescent="0.2">
      <c r="B30" s="22" t="str">
        <f>G12&amp;" "&amp;'[1]11.1'!$J$1 &amp; ", "&amp; '[1]11.1'!$J$2</f>
        <v>(6) Exhibit 11, Sheet 1</v>
      </c>
      <c r="L30" s="2"/>
    </row>
    <row r="31" spans="1:19" x14ac:dyDescent="0.2">
      <c r="B31" s="101" t="str">
        <f>H12&amp;" = "&amp;F12&amp;" / "&amp;G12&amp;" - 1"</f>
        <v>(7) = (5) / (6) - 1</v>
      </c>
      <c r="L31" s="2"/>
    </row>
    <row r="32" spans="1:19" x14ac:dyDescent="0.2">
      <c r="B32" s="22" t="str">
        <f>I12&amp;" Selected"</f>
        <v>(8) Selected</v>
      </c>
      <c r="L32" s="2"/>
    </row>
    <row r="33" spans="2:17" x14ac:dyDescent="0.2">
      <c r="L33" s="2"/>
    </row>
    <row r="34" spans="2:17" x14ac:dyDescent="0.2">
      <c r="L34" s="2"/>
    </row>
    <row r="35" spans="2:17" x14ac:dyDescent="0.2">
      <c r="B35" s="23"/>
      <c r="C35" s="23"/>
      <c r="D35" s="23"/>
      <c r="E35" s="18"/>
      <c r="F35" s="23"/>
      <c r="G35" s="16"/>
      <c r="H35" s="16"/>
      <c r="I35" s="16"/>
      <c r="K35" s="16"/>
      <c r="L35" s="2"/>
      <c r="M35" s="158"/>
      <c r="N35" s="158"/>
      <c r="O35" s="14"/>
      <c r="P35" s="158"/>
      <c r="Q35" s="15"/>
    </row>
    <row r="36" spans="2:17" x14ac:dyDescent="0.2">
      <c r="B36" s="12"/>
      <c r="C36" s="12"/>
      <c r="L36" s="2"/>
      <c r="M36" s="17"/>
      <c r="N36" s="17"/>
      <c r="O36" s="17"/>
      <c r="P36" s="17"/>
      <c r="Q36" s="17"/>
    </row>
    <row r="37" spans="2:17" x14ac:dyDescent="0.2">
      <c r="L37" s="2"/>
    </row>
    <row r="38" spans="2:17" x14ac:dyDescent="0.2">
      <c r="L38" s="2"/>
    </row>
    <row r="39" spans="2:17" x14ac:dyDescent="0.2">
      <c r="L39" s="2"/>
    </row>
    <row r="40" spans="2:17" x14ac:dyDescent="0.2">
      <c r="L40" s="2"/>
    </row>
    <row r="41" spans="2:17" x14ac:dyDescent="0.2">
      <c r="L41" s="2"/>
    </row>
    <row r="42" spans="2:17" x14ac:dyDescent="0.2">
      <c r="L42" s="2"/>
    </row>
    <row r="43" spans="2:17" x14ac:dyDescent="0.2">
      <c r="L43" s="2"/>
    </row>
    <row r="44" spans="2:17" x14ac:dyDescent="0.2">
      <c r="L44" s="2"/>
    </row>
    <row r="45" spans="2:17" x14ac:dyDescent="0.2">
      <c r="L45" s="2"/>
    </row>
    <row r="46" spans="2:17" x14ac:dyDescent="0.2">
      <c r="L46" s="2"/>
    </row>
    <row r="47" spans="2:17" x14ac:dyDescent="0.2">
      <c r="L47" s="2"/>
    </row>
    <row r="48" spans="2:17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/>
  <dimension ref="A1:I69"/>
  <sheetViews>
    <sheetView topLeftCell="A15" zoomScaleNormal="100" workbookViewId="0">
      <selection activeCell="N60" sqref="N60"/>
    </sheetView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101</v>
      </c>
      <c r="I1" s="1"/>
    </row>
    <row r="2" spans="1:9" x14ac:dyDescent="0.2">
      <c r="A2" s="8" t="str">
        <f>'1'!$A$2</f>
        <v>Residential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100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F7" s="45"/>
      <c r="G7" s="45"/>
      <c r="H7" s="45"/>
      <c r="I7" s="2"/>
    </row>
    <row r="8" spans="1:9" ht="12" thickTop="1" x14ac:dyDescent="0.2">
      <c r="F8" s="45"/>
      <c r="G8" s="45"/>
      <c r="H8" s="45"/>
      <c r="I8" s="2"/>
    </row>
    <row r="9" spans="1:9" x14ac:dyDescent="0.2">
      <c r="C9" s="12" t="s">
        <v>13</v>
      </c>
      <c r="E9" t="s">
        <v>13</v>
      </c>
      <c r="F9" s="45"/>
      <c r="G9" s="45"/>
      <c r="H9" s="45"/>
      <c r="I9" s="2"/>
    </row>
    <row r="10" spans="1:9" x14ac:dyDescent="0.2">
      <c r="C10" t="s">
        <v>42</v>
      </c>
      <c r="D10" t="s">
        <v>37</v>
      </c>
      <c r="E10" t="s">
        <v>11</v>
      </c>
      <c r="F10" s="45"/>
      <c r="G10" s="45"/>
      <c r="H10" s="45"/>
      <c r="I10" s="2"/>
    </row>
    <row r="11" spans="1:9" x14ac:dyDescent="0.2">
      <c r="A11" s="9" t="s">
        <v>102</v>
      </c>
      <c r="B11" s="9"/>
      <c r="C11" s="9" t="s">
        <v>12</v>
      </c>
      <c r="D11" s="9" t="s">
        <v>38</v>
      </c>
      <c r="E11" s="9" t="s">
        <v>12</v>
      </c>
      <c r="F11" s="45"/>
      <c r="G11" s="45"/>
      <c r="H11" s="45"/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G12" s="46"/>
      <c r="H12" s="46"/>
      <c r="I12" s="2"/>
    </row>
    <row r="13" spans="1:9" x14ac:dyDescent="0.2">
      <c r="F13" s="45"/>
      <c r="G13" s="45"/>
      <c r="H13" s="45"/>
      <c r="I13" s="2"/>
    </row>
    <row r="14" spans="1:9" x14ac:dyDescent="0.2">
      <c r="A14" s="62" t="s">
        <v>283</v>
      </c>
      <c r="C14" s="23">
        <f>'6.1'!$E$41</f>
        <v>0.36699999999999999</v>
      </c>
      <c r="D14" s="57">
        <f>'4.1'!$E$56</f>
        <v>0.15</v>
      </c>
      <c r="E14" s="18">
        <f>ROUND(C14*(1+D14),3)</f>
        <v>0.42199999999999999</v>
      </c>
      <c r="F14" s="53"/>
      <c r="G14" s="53"/>
      <c r="H14" s="54"/>
      <c r="I14" s="2"/>
    </row>
    <row r="15" spans="1:9" x14ac:dyDescent="0.2">
      <c r="C15" s="23"/>
      <c r="D15" s="23"/>
      <c r="E15" s="23"/>
      <c r="F15" s="53"/>
      <c r="G15" s="53"/>
      <c r="H15" s="54"/>
      <c r="I15" s="2"/>
    </row>
    <row r="16" spans="1:9" x14ac:dyDescent="0.2">
      <c r="A16" s="10" t="s">
        <v>103</v>
      </c>
      <c r="C16" s="23"/>
      <c r="D16" s="23"/>
      <c r="E16" s="23"/>
      <c r="F16" s="53"/>
      <c r="G16" s="53"/>
      <c r="H16" s="54"/>
      <c r="I16" s="2"/>
    </row>
    <row r="17" spans="1:9" x14ac:dyDescent="0.2">
      <c r="B17" t="s">
        <v>104</v>
      </c>
      <c r="C17" s="23">
        <f>'7.1'!$E$34</f>
        <v>0.48899999999999999</v>
      </c>
      <c r="D17" s="57">
        <f>D$14</f>
        <v>0.15</v>
      </c>
      <c r="E17" s="18">
        <f>ROUND(C17*(1+D17),3)</f>
        <v>0.56200000000000006</v>
      </c>
      <c r="F17" s="45"/>
      <c r="G17" s="45"/>
      <c r="H17" s="45"/>
      <c r="I17" s="2"/>
    </row>
    <row r="18" spans="1:9" x14ac:dyDescent="0.2">
      <c r="B18" t="s">
        <v>105</v>
      </c>
      <c r="C18" s="23">
        <f>'8.1'!$E$34</f>
        <v>0.41299999999999998</v>
      </c>
      <c r="D18" s="57">
        <f>D$14</f>
        <v>0.15</v>
      </c>
      <c r="E18" s="18">
        <f>ROUND(C18*(1+D18),3)</f>
        <v>0.47499999999999998</v>
      </c>
      <c r="F18" s="45"/>
      <c r="G18" s="45"/>
      <c r="H18" s="45"/>
      <c r="I18" s="2"/>
    </row>
    <row r="19" spans="1:9" x14ac:dyDescent="0.2">
      <c r="F19" s="45"/>
      <c r="G19" s="45"/>
      <c r="H19" s="45"/>
      <c r="I19" s="2"/>
    </row>
    <row r="20" spans="1:9" x14ac:dyDescent="0.2">
      <c r="B20" t="s">
        <v>106</v>
      </c>
      <c r="C20" s="20">
        <f>ROUND(AVERAGE(C17:C18),3)</f>
        <v>0.45100000000000001</v>
      </c>
      <c r="D20" s="57">
        <f>D$14</f>
        <v>0.15</v>
      </c>
      <c r="E20" s="18">
        <f>ROUND(C20*(1+D20),3)</f>
        <v>0.51900000000000002</v>
      </c>
      <c r="F20" s="45"/>
      <c r="G20" s="45"/>
      <c r="H20" s="45"/>
      <c r="I20" s="2"/>
    </row>
    <row r="21" spans="1:9" ht="12" thickBot="1" x14ac:dyDescent="0.25">
      <c r="A21" s="6"/>
      <c r="B21" s="6"/>
      <c r="C21" s="6"/>
      <c r="D21" s="6"/>
      <c r="E21" s="6"/>
      <c r="I21" s="2"/>
    </row>
    <row r="22" spans="1:9" ht="12" thickTop="1" x14ac:dyDescent="0.2">
      <c r="I22" s="2"/>
    </row>
    <row r="23" spans="1:9" x14ac:dyDescent="0.2">
      <c r="A23" t="s">
        <v>18</v>
      </c>
      <c r="I23" s="2"/>
    </row>
    <row r="24" spans="1:9" x14ac:dyDescent="0.2">
      <c r="B24" s="22" t="str">
        <f>C12&amp;" "&amp;'6.1'!$K$1&amp;" - "&amp;'8.1'!$K$1&amp;", "&amp;'6.1'!$K$2</f>
        <v>(2) Exhibit 6 - Exhibit 8, Sheet 1</v>
      </c>
      <c r="I24" s="2"/>
    </row>
    <row r="25" spans="1:9" x14ac:dyDescent="0.2">
      <c r="B25" s="22" t="str">
        <f>D12&amp;" "&amp;'4.1'!$J$1&amp;", "&amp;'4.1'!$J$2</f>
        <v>(3) Exhibit 4, Sheet 1</v>
      </c>
      <c r="I25" s="2"/>
    </row>
    <row r="26" spans="1:9" x14ac:dyDescent="0.2">
      <c r="B26" s="12" t="str">
        <f>E12&amp;" = "&amp;C12&amp;" * [1 + "&amp;D12&amp;"]"</f>
        <v>(4) = (2) * [1 + (3)]</v>
      </c>
      <c r="I26" s="2"/>
    </row>
    <row r="27" spans="1:9" x14ac:dyDescent="0.2">
      <c r="B27" s="22"/>
      <c r="I27" s="2"/>
    </row>
    <row r="28" spans="1:9" x14ac:dyDescent="0.2">
      <c r="B28" s="22"/>
      <c r="I28" s="2"/>
    </row>
    <row r="29" spans="1:9" x14ac:dyDescent="0.2">
      <c r="I29" s="2"/>
    </row>
    <row r="30" spans="1:9" x14ac:dyDescent="0.2">
      <c r="A30" s="62"/>
      <c r="C30" s="23"/>
      <c r="D30" s="57"/>
      <c r="E30" s="18"/>
      <c r="F30" s="53"/>
      <c r="G30" s="53"/>
      <c r="H30" s="54"/>
      <c r="I30" s="2"/>
    </row>
    <row r="31" spans="1:9" x14ac:dyDescent="0.2">
      <c r="C31" s="23"/>
      <c r="D31" s="57"/>
      <c r="E31" s="18"/>
      <c r="F31" s="45"/>
      <c r="G31" s="45"/>
      <c r="H31" s="45"/>
      <c r="I31" s="2"/>
    </row>
    <row r="32" spans="1:9" x14ac:dyDescent="0.2">
      <c r="A32" s="62"/>
      <c r="C32" s="23"/>
      <c r="D32" s="57"/>
      <c r="E32" s="18"/>
      <c r="F32" s="55"/>
      <c r="G32" s="55"/>
      <c r="H32" s="56"/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  <row r="48" spans="9:9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x14ac:dyDescent="0.2">
      <c r="I63" s="2"/>
    </row>
    <row r="64" spans="9:9" x14ac:dyDescent="0.2">
      <c r="I64" s="2"/>
    </row>
    <row r="65" spans="1:9" x14ac:dyDescent="0.2">
      <c r="I65" s="2"/>
    </row>
    <row r="66" spans="1:9" x14ac:dyDescent="0.2">
      <c r="I66" s="2"/>
    </row>
    <row r="67" spans="1:9" x14ac:dyDescent="0.2">
      <c r="I67" s="2"/>
    </row>
    <row r="68" spans="1:9" ht="12" thickBot="1" x14ac:dyDescent="0.25"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O60"/>
  <sheetViews>
    <sheetView topLeftCell="D8" zoomScaleNormal="100" workbookViewId="0">
      <selection activeCell="U53" sqref="U53"/>
    </sheetView>
  </sheetViews>
  <sheetFormatPr defaultColWidth="11.33203125" defaultRowHeight="11.25" x14ac:dyDescent="0.2"/>
  <cols>
    <col min="1" max="1" width="6.1640625" customWidth="1"/>
    <col min="2" max="2" width="11.33203125" customWidth="1"/>
    <col min="3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2.6640625" customWidth="1"/>
  </cols>
  <sheetData>
    <row r="1" spans="1:15" x14ac:dyDescent="0.2">
      <c r="A1" s="8" t="str">
        <f>'1'!$A$1</f>
        <v>Texas Windstorm Insurance Association</v>
      </c>
      <c r="B1" s="12"/>
      <c r="K1" s="7" t="s">
        <v>107</v>
      </c>
      <c r="L1" s="1"/>
    </row>
    <row r="2" spans="1:15" x14ac:dyDescent="0.2">
      <c r="A2" s="8" t="str">
        <f>'1'!$A$2</f>
        <v>Residential Property - Wind &amp; Hail</v>
      </c>
      <c r="B2" s="12"/>
      <c r="K2" s="7" t="s">
        <v>22</v>
      </c>
      <c r="L2" s="2"/>
    </row>
    <row r="3" spans="1:15" x14ac:dyDescent="0.2">
      <c r="A3" s="8" t="str">
        <f>'1'!$A$3</f>
        <v>Rate Level Review</v>
      </c>
      <c r="B3" s="12"/>
      <c r="L3" s="2"/>
    </row>
    <row r="4" spans="1:15" x14ac:dyDescent="0.2">
      <c r="A4" t="s">
        <v>108</v>
      </c>
      <c r="B4" s="12"/>
      <c r="E4" s="50"/>
      <c r="F4" s="50"/>
      <c r="L4" s="2"/>
      <c r="M4" s="11" t="s">
        <v>117</v>
      </c>
      <c r="N4" s="11" t="s">
        <v>118</v>
      </c>
      <c r="O4" s="11" t="s">
        <v>122</v>
      </c>
    </row>
    <row r="5" spans="1:15" x14ac:dyDescent="0.2">
      <c r="A5" t="str">
        <f>$M$5&amp;" - "&amp;$N$5&amp;" -- Hurricane Years Only"</f>
        <v>1966 - 2018 -- Hurricane Years Only</v>
      </c>
      <c r="B5" s="12"/>
      <c r="E5" s="50"/>
      <c r="F5" s="50"/>
      <c r="L5" s="2"/>
      <c r="M5" s="246">
        <v>1966</v>
      </c>
      <c r="N5" s="246">
        <v>2018</v>
      </c>
      <c r="O5" s="11">
        <f>N5-M5+1</f>
        <v>53</v>
      </c>
    </row>
    <row r="6" spans="1:15" x14ac:dyDescent="0.2">
      <c r="E6" s="50"/>
      <c r="F6" s="50"/>
      <c r="L6" s="2"/>
      <c r="M6" s="91"/>
      <c r="N6" s="82"/>
    </row>
    <row r="7" spans="1:15" ht="12" thickBot="1" x14ac:dyDescent="0.25">
      <c r="A7" s="6"/>
      <c r="B7" s="6"/>
      <c r="C7" s="6"/>
      <c r="D7" s="6"/>
      <c r="E7" s="6"/>
      <c r="F7" s="50"/>
      <c r="G7" s="50"/>
      <c r="H7" s="50"/>
      <c r="I7" s="50"/>
      <c r="L7" s="2"/>
    </row>
    <row r="8" spans="1:15" ht="12" thickTop="1" x14ac:dyDescent="0.2">
      <c r="E8" s="45"/>
      <c r="F8" s="45"/>
      <c r="L8" s="2"/>
    </row>
    <row r="9" spans="1:15" x14ac:dyDescent="0.2">
      <c r="C9" s="22" t="s">
        <v>45</v>
      </c>
      <c r="F9" s="45"/>
      <c r="L9" s="2"/>
      <c r="M9" s="27"/>
    </row>
    <row r="10" spans="1:15" x14ac:dyDescent="0.2">
      <c r="A10" t="s">
        <v>54</v>
      </c>
      <c r="C10" t="s">
        <v>43</v>
      </c>
      <c r="E10" t="s">
        <v>88</v>
      </c>
      <c r="F10" s="45"/>
      <c r="L10" s="2"/>
    </row>
    <row r="11" spans="1:15" x14ac:dyDescent="0.2">
      <c r="A11" s="9" t="s">
        <v>55</v>
      </c>
      <c r="B11" s="9"/>
      <c r="C11" s="9" t="s">
        <v>44</v>
      </c>
      <c r="D11" s="9"/>
      <c r="E11" s="9" t="s">
        <v>79</v>
      </c>
      <c r="F11" s="45"/>
      <c r="L11" s="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/>
      <c r="E12" s="11" t="str">
        <f>TEXT(COLUMN()-2,"(#)")</f>
        <v>(3)</v>
      </c>
      <c r="F12" s="46"/>
      <c r="L12" s="2"/>
    </row>
    <row r="13" spans="1:15" x14ac:dyDescent="0.2">
      <c r="F13" s="45"/>
      <c r="L13" s="2"/>
    </row>
    <row r="14" spans="1:15" x14ac:dyDescent="0.2">
      <c r="A14" s="90" t="s">
        <v>269</v>
      </c>
      <c r="B14" s="59"/>
      <c r="C14" s="128">
        <f>VLOOKUP($A14,'6.2'!$A$13:$G$65,5,0)</f>
        <v>33975804</v>
      </c>
      <c r="D14" s="128"/>
      <c r="E14" s="65">
        <f>VLOOKUP($A14,'6.2'!$A$13:$G$65,7,0)</f>
        <v>0.32900000000000001</v>
      </c>
      <c r="F14" s="64"/>
      <c r="G14" s="65"/>
      <c r="H14" s="20"/>
      <c r="I14" s="20"/>
      <c r="L14" s="2"/>
    </row>
    <row r="15" spans="1:15" x14ac:dyDescent="0.2">
      <c r="A15" s="90" t="s">
        <v>268</v>
      </c>
      <c r="B15" s="59"/>
      <c r="C15" s="128">
        <f>VLOOKUP($A15,'6.2'!$A$13:$G$65,5,0)</f>
        <v>34658928</v>
      </c>
      <c r="D15" s="128"/>
      <c r="E15" s="65">
        <f>VLOOKUP($A15,'6.2'!$A$13:$G$65,7,0)</f>
        <v>0.6</v>
      </c>
      <c r="F15" s="64"/>
      <c r="G15" s="65"/>
      <c r="H15" s="20"/>
      <c r="I15" s="20"/>
      <c r="L15" s="2"/>
    </row>
    <row r="16" spans="1:15" x14ac:dyDescent="0.2">
      <c r="A16" s="90" t="s">
        <v>109</v>
      </c>
      <c r="B16" s="59"/>
      <c r="C16" s="128">
        <f>VLOOKUP($A16,'6.2'!$A$13:$G$65,5,0)</f>
        <v>34539514</v>
      </c>
      <c r="D16" s="128"/>
      <c r="E16" s="65">
        <f>VLOOKUP($A16,'6.2'!$A$13:$G$65,7,0)</f>
        <v>0.65800000000000003</v>
      </c>
      <c r="F16" s="64"/>
      <c r="G16" s="65"/>
      <c r="H16" s="20"/>
      <c r="I16" s="20"/>
      <c r="L16" s="2"/>
    </row>
    <row r="17" spans="1:12" x14ac:dyDescent="0.2">
      <c r="A17" s="90" t="s">
        <v>110</v>
      </c>
      <c r="B17" s="59"/>
      <c r="C17" s="128">
        <f>VLOOKUP($A17,'6.2'!$A$13:$G$65,5,0)</f>
        <v>58664250</v>
      </c>
      <c r="D17" s="128"/>
      <c r="E17" s="65">
        <f>VLOOKUP($A17,'6.2'!$A$13:$G$65,7,0)</f>
        <v>0.748</v>
      </c>
      <c r="F17" s="64"/>
      <c r="G17" s="65"/>
      <c r="H17" s="20"/>
      <c r="I17" s="20"/>
      <c r="L17" s="2"/>
    </row>
    <row r="18" spans="1:12" x14ac:dyDescent="0.2">
      <c r="A18" s="90" t="s">
        <v>111</v>
      </c>
      <c r="B18" s="59"/>
      <c r="C18" s="128">
        <f>VLOOKUP($A18,'6.2'!$A$13:$G$65,5,0)</f>
        <v>75333571.475999996</v>
      </c>
      <c r="D18" s="128"/>
      <c r="E18" s="65">
        <f>VLOOKUP($A18,'6.2'!$A$13:$G$65,7,0)</f>
        <v>4.2060000000000004</v>
      </c>
      <c r="F18" s="64"/>
      <c r="G18" s="65"/>
      <c r="H18" s="20"/>
      <c r="I18" s="20"/>
      <c r="L18" s="2"/>
    </row>
    <row r="19" spans="1:12" x14ac:dyDescent="0.2">
      <c r="A19" s="90" t="s">
        <v>112</v>
      </c>
      <c r="B19" s="59"/>
      <c r="C19" s="128">
        <f>VLOOKUP($A19,'6.2'!$A$13:$G$65,5,0)</f>
        <v>95974159.497000009</v>
      </c>
      <c r="D19" s="128"/>
      <c r="E19" s="65">
        <f>VLOOKUP($A19,'6.2'!$A$13:$G$65,7,0)</f>
        <v>9.5000000000000001E-2</v>
      </c>
      <c r="F19" s="64"/>
      <c r="G19" s="65"/>
      <c r="H19" s="20"/>
      <c r="I19" s="20"/>
      <c r="L19" s="2"/>
    </row>
    <row r="20" spans="1:12" x14ac:dyDescent="0.2">
      <c r="A20" s="90" t="s">
        <v>113</v>
      </c>
      <c r="B20" s="59"/>
      <c r="C20" s="128">
        <f>VLOOKUP($A20,'6.2'!$A$13:$G$65,5,0)</f>
        <v>109248692.706</v>
      </c>
      <c r="D20" s="128"/>
      <c r="E20" s="65">
        <f>VLOOKUP($A20,'6.2'!$A$13:$G$65,7,0)</f>
        <v>7.0000000000000007E-2</v>
      </c>
      <c r="F20" s="64"/>
      <c r="G20" s="65"/>
      <c r="H20" s="20"/>
      <c r="I20" s="20"/>
      <c r="L20" s="2"/>
    </row>
    <row r="21" spans="1:12" x14ac:dyDescent="0.2">
      <c r="A21" s="90" t="s">
        <v>114</v>
      </c>
      <c r="B21" s="59"/>
      <c r="C21" s="128">
        <f>VLOOKUP($A21,'6.2'!$A$13:$G$65,5,0)</f>
        <v>105685438.53200001</v>
      </c>
      <c r="D21" s="128"/>
      <c r="E21" s="65">
        <f>VLOOKUP($A21,'6.2'!$A$13:$G$65,7,0)</f>
        <v>0.16800000000000001</v>
      </c>
      <c r="F21" s="45"/>
      <c r="G21" s="65"/>
      <c r="H21" s="20"/>
      <c r="I21" s="20"/>
      <c r="L21" s="2"/>
    </row>
    <row r="22" spans="1:12" x14ac:dyDescent="0.2">
      <c r="A22" s="90" t="s">
        <v>115</v>
      </c>
      <c r="B22" s="59"/>
      <c r="C22" s="128">
        <f>VLOOKUP($A22,'6.2'!$A$13:$G$65,5,0)</f>
        <v>185055377.36801705</v>
      </c>
      <c r="D22" s="128"/>
      <c r="E22" s="65">
        <f>VLOOKUP($A22,'6.2'!$A$13:$G$65,7,0)</f>
        <v>8.4000000000000005E-2</v>
      </c>
      <c r="F22" s="50"/>
      <c r="G22" s="65"/>
      <c r="H22" s="20"/>
      <c r="I22" s="20"/>
      <c r="L22" s="2"/>
    </row>
    <row r="23" spans="1:12" x14ac:dyDescent="0.2">
      <c r="A23" s="166" t="s">
        <v>281</v>
      </c>
      <c r="B23" s="164"/>
      <c r="C23" s="128">
        <f>VLOOKUP($A23,'6.2'!$A$13:$G$65,5,0)</f>
        <v>219135227.92344683</v>
      </c>
      <c r="D23" s="128"/>
      <c r="E23" s="65">
        <f>VLOOKUP($A23,'6.2'!$A$13:$G$65,7,0)</f>
        <v>0.21</v>
      </c>
      <c r="F23" s="65"/>
      <c r="G23" s="65"/>
      <c r="H23" s="20"/>
      <c r="I23" s="20"/>
      <c r="L23" s="2"/>
    </row>
    <row r="24" spans="1:12" x14ac:dyDescent="0.2">
      <c r="A24" s="166" t="s">
        <v>290</v>
      </c>
      <c r="B24" s="164"/>
      <c r="C24" s="128">
        <f>VLOOKUP($A24,'6.2'!$A$13:$G$65,5,0)</f>
        <v>244968041.14574987</v>
      </c>
      <c r="D24" s="128"/>
      <c r="E24" s="65">
        <f>VLOOKUP($A24,'6.2'!$A$13:$G$65,7,0)</f>
        <v>1.1419999999999999</v>
      </c>
      <c r="F24" s="50"/>
      <c r="G24" s="65"/>
      <c r="H24" s="20"/>
      <c r="I24" s="20"/>
      <c r="L24" s="2"/>
    </row>
    <row r="25" spans="1:12" x14ac:dyDescent="0.2">
      <c r="A25" s="166" t="s">
        <v>304</v>
      </c>
      <c r="B25" s="164"/>
      <c r="C25" s="128">
        <f>VLOOKUP($A25,'6.2'!$A$13:$G$65,5,0)</f>
        <v>367465453.11653084</v>
      </c>
      <c r="D25" s="128"/>
      <c r="E25" s="65">
        <f>VLOOKUP($A25,'6.2'!$A$13:$G$65,7,0)</f>
        <v>5.2999999999999999E-2</v>
      </c>
      <c r="F25" s="50"/>
      <c r="G25" s="65"/>
      <c r="H25" s="20"/>
      <c r="I25" s="20"/>
      <c r="L25" s="2"/>
    </row>
    <row r="26" spans="1:12" x14ac:dyDescent="0.2">
      <c r="A26" s="166" t="s">
        <v>305</v>
      </c>
      <c r="B26" s="164"/>
      <c r="C26" s="128">
        <f>VLOOKUP($A26,'6.2'!$A$13:$G$65,5,0)</f>
        <v>459720536.67116964</v>
      </c>
      <c r="D26" s="128"/>
      <c r="E26" s="65">
        <f>VLOOKUP($A26,'6.2'!$A$13:$G$65,7,0)</f>
        <v>4.1769999999999996</v>
      </c>
      <c r="F26" s="65"/>
      <c r="G26" s="65"/>
      <c r="H26" s="20"/>
      <c r="I26" s="20"/>
      <c r="L26" s="2"/>
    </row>
    <row r="27" spans="1:12" x14ac:dyDescent="0.2">
      <c r="A27" s="296">
        <v>2017</v>
      </c>
      <c r="B27" s="183"/>
      <c r="C27" s="32">
        <f>VLOOKUP($A27,'6.2'!$A$13:$G$65,5,0)</f>
        <v>559347767.30000055</v>
      </c>
      <c r="D27" s="32"/>
      <c r="E27" s="73">
        <f>VLOOKUP($A27,'6.2'!$A$13:$G$65,7,0)</f>
        <v>2.2418749999999998</v>
      </c>
      <c r="F27" s="65"/>
      <c r="L27" s="2"/>
    </row>
    <row r="28" spans="1:12" x14ac:dyDescent="0.2">
      <c r="C28" s="19"/>
      <c r="E28" s="45"/>
      <c r="F28" s="47"/>
      <c r="L28" s="2"/>
    </row>
    <row r="29" spans="1:12" x14ac:dyDescent="0.2">
      <c r="A29" s="67" t="s">
        <v>144</v>
      </c>
      <c r="B29" s="61" t="s">
        <v>119</v>
      </c>
      <c r="C29" s="38"/>
      <c r="D29" s="38"/>
      <c r="E29" s="63">
        <f>ROUND(AVERAGE(E14:E27),3)</f>
        <v>1.056</v>
      </c>
      <c r="F29" s="63"/>
      <c r="G29" s="20"/>
      <c r="H29" s="20"/>
      <c r="I29" s="20"/>
      <c r="L29" s="2"/>
    </row>
    <row r="30" spans="1:12" x14ac:dyDescent="0.2">
      <c r="C30" s="38"/>
      <c r="D30" s="38"/>
      <c r="E30" s="47"/>
      <c r="F30" s="47"/>
      <c r="G30" s="20"/>
      <c r="H30" s="20"/>
      <c r="I30" s="20"/>
      <c r="L30" s="2"/>
    </row>
    <row r="31" spans="1:12" x14ac:dyDescent="0.2">
      <c r="A31" s="67" t="s">
        <v>123</v>
      </c>
      <c r="B31" t="s">
        <v>128</v>
      </c>
      <c r="C31" s="38"/>
      <c r="D31" s="38"/>
      <c r="E31" s="63">
        <f>'6.2'!$G$69</f>
        <v>9.2999999999999999E-2</v>
      </c>
      <c r="F31" s="63"/>
      <c r="L31" s="2"/>
    </row>
    <row r="32" spans="1:12" x14ac:dyDescent="0.2">
      <c r="E32" s="45"/>
      <c r="F32" s="45"/>
      <c r="L32" s="2"/>
    </row>
    <row r="33" spans="1:13" x14ac:dyDescent="0.2">
      <c r="A33" s="67" t="s">
        <v>127</v>
      </c>
      <c r="B33" t="s">
        <v>120</v>
      </c>
      <c r="E33" s="66">
        <f>E29-E31</f>
        <v>0.96300000000000008</v>
      </c>
      <c r="F33" s="66"/>
      <c r="G33" s="20"/>
      <c r="H33" s="20"/>
      <c r="I33" s="20"/>
      <c r="L33" s="2"/>
    </row>
    <row r="34" spans="1:13" x14ac:dyDescent="0.2">
      <c r="E34" s="45"/>
      <c r="F34" s="45"/>
      <c r="L34" s="2"/>
      <c r="M34" s="83"/>
    </row>
    <row r="35" spans="1:13" x14ac:dyDescent="0.2">
      <c r="A35" s="67" t="s">
        <v>126</v>
      </c>
      <c r="B35" t="s">
        <v>284</v>
      </c>
      <c r="E35" s="45"/>
      <c r="F35" s="45"/>
      <c r="L35" s="2"/>
      <c r="M35" s="82"/>
    </row>
    <row r="36" spans="1:13" x14ac:dyDescent="0.2">
      <c r="B36" t="str">
        <f>"(a) "&amp;'9'!A50&amp;" ("&amp;'9'!C50&amp;")"</f>
        <v>(a) 53-Year (1/1/1966 - 12/31/2018)</v>
      </c>
      <c r="E36" s="78">
        <f>'9'!$G$50</f>
        <v>0.28299999999999997</v>
      </c>
      <c r="F36" s="45" t="str">
        <f>"(1 Hurricane Every "&amp;TEXT(1/E36,"0.0")&amp;" years)"</f>
        <v>(1 Hurricane Every 3.5 years)</v>
      </c>
      <c r="L36" s="2"/>
    </row>
    <row r="37" spans="1:13" x14ac:dyDescent="0.2">
      <c r="B37" t="str">
        <f>"(a) "&amp;'9'!A51&amp;" ("&amp;'9'!C51&amp;")"</f>
        <v>(a) 168-Year (1/1/1851 - 12/31/2018)</v>
      </c>
      <c r="E37" s="78">
        <f>'9'!$G$51</f>
        <v>0.38100000000000001</v>
      </c>
      <c r="F37" s="45" t="str">
        <f>"(1 Hurricane Every "&amp;TEXT(1/E37,"0.0")&amp;" years)"</f>
        <v>(1 Hurricane Every 2.6 years)</v>
      </c>
      <c r="L37" s="2"/>
    </row>
    <row r="38" spans="1:13" x14ac:dyDescent="0.2">
      <c r="B38" s="22"/>
      <c r="E38" s="50"/>
      <c r="F38" s="50"/>
      <c r="L38" s="2"/>
    </row>
    <row r="39" spans="1:13" x14ac:dyDescent="0.2">
      <c r="B39" t="s">
        <v>285</v>
      </c>
      <c r="E39" s="160">
        <f>ROUND(E37,3)</f>
        <v>0.38100000000000001</v>
      </c>
      <c r="F39" s="45" t="str">
        <f>"(1 Hurricane Every "&amp;TEXT(1/E39,"0.0")&amp;" years)"</f>
        <v>(1 Hurricane Every 2.6 years)</v>
      </c>
      <c r="L39" s="2"/>
    </row>
    <row r="40" spans="1:13" x14ac:dyDescent="0.2">
      <c r="E40" s="45"/>
      <c r="F40" s="45"/>
      <c r="L40" s="2"/>
    </row>
    <row r="41" spans="1:13" x14ac:dyDescent="0.2">
      <c r="A41" s="67" t="s">
        <v>125</v>
      </c>
      <c r="B41" t="s">
        <v>152</v>
      </c>
      <c r="E41" s="66">
        <f>ROUND(E39*E33,3)</f>
        <v>0.36699999999999999</v>
      </c>
      <c r="F41" s="66"/>
      <c r="L41" s="2"/>
    </row>
    <row r="42" spans="1:13" ht="12" thickBot="1" x14ac:dyDescent="0.25">
      <c r="A42" s="6"/>
      <c r="B42" s="6"/>
      <c r="C42" s="6"/>
      <c r="D42" s="6"/>
      <c r="E42" s="6"/>
      <c r="F42" s="50"/>
      <c r="L42" s="2"/>
      <c r="M42" t="s">
        <v>220</v>
      </c>
    </row>
    <row r="43" spans="1:13" ht="12" thickTop="1" x14ac:dyDescent="0.2">
      <c r="E43" s="50"/>
      <c r="F43" s="50"/>
      <c r="L43" s="2"/>
      <c r="M43" s="88">
        <f>'6.4'!K$53</f>
        <v>43373</v>
      </c>
    </row>
    <row r="44" spans="1:13" x14ac:dyDescent="0.2">
      <c r="A44" t="s">
        <v>18</v>
      </c>
      <c r="E44" s="60"/>
      <c r="F44" s="50"/>
      <c r="L44" s="2"/>
    </row>
    <row r="45" spans="1:13" x14ac:dyDescent="0.2">
      <c r="B45" s="22" t="str">
        <f>C12&amp;" "&amp;'6.2'!$J$1&amp;", "&amp;'6.2'!$J$2&amp;".  Accident years ending "&amp;TEXT($M$43,"m/d/xx")</f>
        <v>(2) Exhibit 6, Sheet 2.  Accident years ending 9/30/xx</v>
      </c>
      <c r="C45" s="22"/>
      <c r="E45" s="50"/>
      <c r="F45" s="50"/>
      <c r="L45" s="2"/>
    </row>
    <row r="46" spans="1:13" x14ac:dyDescent="0.2">
      <c r="B46" s="22" t="str">
        <f>E12&amp;" "&amp;'6.2'!$J$1&amp;", "&amp;'6.2'!$J$2&amp;".  Accident years ending "&amp;TEXT($M$43,"m/d/xx")</f>
        <v>(3) Exhibit 6, Sheet 2.  Accident years ending 9/30/xx</v>
      </c>
      <c r="E46" s="50"/>
      <c r="F46" s="50"/>
      <c r="L46" s="2"/>
    </row>
    <row r="47" spans="1:13" x14ac:dyDescent="0.2">
      <c r="B47" s="22" t="str">
        <f>A29&amp;" = Average of "&amp;E12</f>
        <v>(4) = Average of (3)</v>
      </c>
      <c r="E47" s="50"/>
      <c r="F47" s="50"/>
      <c r="L47" s="2"/>
    </row>
    <row r="48" spans="1:13" x14ac:dyDescent="0.2">
      <c r="B48" s="22" t="str">
        <f>A31&amp;" "&amp;'6.2'!$J$1&amp;", "&amp;'6.2'!$J$2</f>
        <v>(5) Exhibit 6, Sheet 2</v>
      </c>
      <c r="E48" s="50"/>
      <c r="F48" s="50"/>
      <c r="L48" s="2"/>
    </row>
    <row r="49" spans="1:12" x14ac:dyDescent="0.2">
      <c r="B49" s="22" t="str">
        <f>A33&amp;" = "&amp;A29&amp;" - "&amp;A31</f>
        <v>(6) = (4) - (5)</v>
      </c>
      <c r="E49" s="50"/>
      <c r="F49" s="50"/>
      <c r="L49" s="2"/>
    </row>
    <row r="50" spans="1:12" x14ac:dyDescent="0.2">
      <c r="B50" s="22" t="str">
        <f>A35&amp;" "&amp;'9'!$J$1</f>
        <v>(7) Exhibit 9</v>
      </c>
      <c r="E50" s="50"/>
      <c r="F50" s="50"/>
      <c r="L50" s="2"/>
    </row>
    <row r="51" spans="1:12" x14ac:dyDescent="0.2">
      <c r="B51" s="22" t="str">
        <f>A41&amp;" = "&amp;A33&amp;" * "&amp;A35&amp;" Selected"</f>
        <v>(8) = (6) * (7) Selected</v>
      </c>
      <c r="E51" s="50"/>
      <c r="F51" s="50"/>
      <c r="L51" s="2"/>
    </row>
    <row r="52" spans="1:12" x14ac:dyDescent="0.2">
      <c r="E52" s="45"/>
      <c r="F52" s="50"/>
      <c r="L52" s="2"/>
    </row>
    <row r="53" spans="1:12" x14ac:dyDescent="0.2">
      <c r="A53" s="67"/>
      <c r="E53" s="66"/>
      <c r="F53" s="66"/>
      <c r="L53" s="2"/>
    </row>
    <row r="54" spans="1:12" x14ac:dyDescent="0.2">
      <c r="E54" s="50"/>
      <c r="F54" s="50"/>
      <c r="L54" s="2"/>
    </row>
    <row r="55" spans="1:12" x14ac:dyDescent="0.2">
      <c r="E55" s="50"/>
      <c r="F55" s="50"/>
      <c r="L55" s="2"/>
    </row>
    <row r="56" spans="1:12" x14ac:dyDescent="0.2">
      <c r="E56" s="50"/>
      <c r="F56" s="50"/>
      <c r="L56" s="2"/>
    </row>
    <row r="57" spans="1:12" x14ac:dyDescent="0.2">
      <c r="E57" s="50"/>
      <c r="F57" s="50"/>
      <c r="L57" s="2"/>
    </row>
    <row r="58" spans="1:12" x14ac:dyDescent="0.2">
      <c r="E58" s="50"/>
      <c r="F58" s="50"/>
      <c r="L58" s="2"/>
    </row>
    <row r="59" spans="1:12" ht="12" thickBot="1" x14ac:dyDescent="0.25">
      <c r="E59" s="50"/>
      <c r="F59" s="50"/>
      <c r="L59" s="2"/>
    </row>
    <row r="60" spans="1:12" ht="12" thickBo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A14:A2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/>
  <dimension ref="A1:M76"/>
  <sheetViews>
    <sheetView topLeftCell="A19" zoomScaleNormal="100" workbookViewId="0">
      <selection activeCell="Q54" sqref="Q54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107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86</v>
      </c>
      <c r="K2" s="2"/>
    </row>
    <row r="3" spans="1:12" x14ac:dyDescent="0.2">
      <c r="A3" s="8" t="str">
        <f>'1'!$A$3</f>
        <v>Rate Level Review</v>
      </c>
      <c r="B3" s="12"/>
      <c r="I3" s="50"/>
      <c r="K3" s="2"/>
    </row>
    <row r="4" spans="1:12" x14ac:dyDescent="0.2">
      <c r="A4" t="s">
        <v>108</v>
      </c>
      <c r="B4" s="12"/>
      <c r="I4" s="50"/>
      <c r="K4" s="2"/>
    </row>
    <row r="5" spans="1:12" x14ac:dyDescent="0.2">
      <c r="A5" t="str">
        <f>'6.1'!$M$5&amp;" - "&amp;'6.1'!$N$5</f>
        <v>1966 - 2018</v>
      </c>
      <c r="B5" s="12"/>
      <c r="I5" s="50"/>
      <c r="K5" s="2"/>
    </row>
    <row r="6" spans="1:12" ht="4.5" customHeight="1" thickBot="1" x14ac:dyDescent="0.25">
      <c r="A6" s="6"/>
      <c r="B6" s="6"/>
      <c r="C6" s="6"/>
      <c r="D6" s="6"/>
      <c r="E6" s="6"/>
      <c r="F6" s="6"/>
      <c r="G6" s="6"/>
      <c r="H6" s="6"/>
      <c r="I6" s="50"/>
      <c r="K6" s="2"/>
    </row>
    <row r="7" spans="1:12" ht="6" customHeight="1" thickTop="1" x14ac:dyDescent="0.2">
      <c r="I7" s="50"/>
      <c r="K7" s="2"/>
    </row>
    <row r="8" spans="1:12" x14ac:dyDescent="0.2">
      <c r="C8" s="22"/>
      <c r="D8" t="s">
        <v>129</v>
      </c>
      <c r="E8" t="s">
        <v>45</v>
      </c>
      <c r="I8" s="50"/>
      <c r="K8" s="2"/>
      <c r="L8" s="27"/>
    </row>
    <row r="9" spans="1:12" x14ac:dyDescent="0.2">
      <c r="A9" t="s">
        <v>54</v>
      </c>
      <c r="C9" t="s">
        <v>129</v>
      </c>
      <c r="D9" t="s">
        <v>130</v>
      </c>
      <c r="E9" t="s">
        <v>43</v>
      </c>
      <c r="F9" t="s">
        <v>88</v>
      </c>
      <c r="G9" t="s">
        <v>88</v>
      </c>
      <c r="H9" t="s">
        <v>6</v>
      </c>
      <c r="I9" s="50"/>
      <c r="K9" s="2"/>
      <c r="L9" s="22"/>
    </row>
    <row r="10" spans="1:12" x14ac:dyDescent="0.2">
      <c r="A10" s="9" t="s">
        <v>55</v>
      </c>
      <c r="B10" s="9"/>
      <c r="C10" s="9" t="s">
        <v>130</v>
      </c>
      <c r="D10" s="9" t="s">
        <v>131</v>
      </c>
      <c r="E10" s="9" t="s">
        <v>44</v>
      </c>
      <c r="F10" s="9" t="s">
        <v>121</v>
      </c>
      <c r="G10" s="9" t="s">
        <v>79</v>
      </c>
      <c r="H10" s="9" t="s">
        <v>80</v>
      </c>
      <c r="I10" s="50"/>
      <c r="K10" s="2"/>
      <c r="L10" s="52"/>
    </row>
    <row r="11" spans="1:12" x14ac:dyDescent="0.2">
      <c r="A11" s="13" t="str">
        <f>TEXT(COLUMN(),"(#)")</f>
        <v>(1)</v>
      </c>
      <c r="B11" s="13"/>
      <c r="C11" s="11" t="str">
        <f t="shared" ref="C11:H11" si="0">TEXT(COLUMN()-1,"(#)")</f>
        <v>(2)</v>
      </c>
      <c r="D11" s="11" t="str">
        <f t="shared" si="0"/>
        <v>(3)</v>
      </c>
      <c r="E11" s="11" t="str">
        <f t="shared" si="0"/>
        <v>(4)</v>
      </c>
      <c r="F11" s="11" t="str">
        <f t="shared" si="0"/>
        <v>(5)</v>
      </c>
      <c r="G11" s="11" t="str">
        <f t="shared" si="0"/>
        <v>(6)</v>
      </c>
      <c r="H11" s="11" t="str">
        <f t="shared" si="0"/>
        <v>(7)</v>
      </c>
      <c r="I11" s="120"/>
      <c r="K11" s="2"/>
    </row>
    <row r="12" spans="1:12" ht="4.5" customHeight="1" x14ac:dyDescent="0.2">
      <c r="I12" s="50"/>
      <c r="K12" s="2"/>
    </row>
    <row r="13" spans="1:12" x14ac:dyDescent="0.2">
      <c r="A13" s="252">
        <v>1966</v>
      </c>
      <c r="B13" s="22"/>
      <c r="C13" s="62"/>
      <c r="D13" s="38">
        <v>13011528</v>
      </c>
      <c r="E13" s="31">
        <f>ROUND(D13*'6.4'!$K$14,0)</f>
        <v>34051169</v>
      </c>
      <c r="F13" s="38">
        <v>1178131</v>
      </c>
      <c r="G13" s="23">
        <f>ROUND(F13/E13,3)</f>
        <v>3.5000000000000003E-2</v>
      </c>
      <c r="H13" s="62"/>
      <c r="I13" s="66"/>
      <c r="K13" s="2"/>
    </row>
    <row r="14" spans="1:12" x14ac:dyDescent="0.2">
      <c r="A14" s="62" t="str">
        <f>TEXT(A13+1,"#")</f>
        <v>1967</v>
      </c>
      <c r="B14" s="22"/>
      <c r="C14" s="62"/>
      <c r="D14" s="38">
        <v>13130860</v>
      </c>
      <c r="E14" s="31">
        <f>ROUND(D14*'6.4'!$K$14,0)</f>
        <v>34363461</v>
      </c>
      <c r="F14" s="38">
        <v>663024</v>
      </c>
      <c r="G14" s="23">
        <f t="shared" ref="G14:G25" si="1">ROUND(F14/E14,3)</f>
        <v>1.9E-2</v>
      </c>
      <c r="H14" s="62"/>
      <c r="I14" s="66"/>
      <c r="K14" s="2"/>
    </row>
    <row r="15" spans="1:12" x14ac:dyDescent="0.2">
      <c r="A15" s="62" t="str">
        <f t="shared" ref="A15:A63" si="2">TEXT(A14+1,"#")</f>
        <v>1968</v>
      </c>
      <c r="B15" s="62"/>
      <c r="C15" s="62"/>
      <c r="D15" s="38">
        <v>12982730</v>
      </c>
      <c r="E15" s="31">
        <f>ROUND(D15*'6.4'!$K$14,0)</f>
        <v>33975804</v>
      </c>
      <c r="F15" s="38">
        <v>11171683</v>
      </c>
      <c r="G15" s="23">
        <f t="shared" si="1"/>
        <v>0.32900000000000001</v>
      </c>
      <c r="H15" s="253" t="s">
        <v>81</v>
      </c>
      <c r="I15" s="66"/>
      <c r="K15" s="2"/>
    </row>
    <row r="16" spans="1:12" x14ac:dyDescent="0.2">
      <c r="A16" s="62" t="str">
        <f t="shared" si="2"/>
        <v>1969</v>
      </c>
      <c r="B16" s="62"/>
      <c r="C16" s="62"/>
      <c r="D16" s="38">
        <v>12499176</v>
      </c>
      <c r="E16" s="31">
        <f>ROUND(D16*'6.4'!$K$14,0)</f>
        <v>32710344</v>
      </c>
      <c r="F16" s="38">
        <v>3218757</v>
      </c>
      <c r="G16" s="23">
        <f t="shared" si="1"/>
        <v>9.8000000000000004E-2</v>
      </c>
      <c r="H16" s="253"/>
      <c r="I16" s="66"/>
      <c r="K16" s="2"/>
    </row>
    <row r="17" spans="1:13" x14ac:dyDescent="0.2">
      <c r="A17" s="62" t="str">
        <f t="shared" si="2"/>
        <v>1970</v>
      </c>
      <c r="B17" s="62"/>
      <c r="C17" s="33"/>
      <c r="D17" s="38">
        <v>13243763</v>
      </c>
      <c r="E17" s="31">
        <f>ROUND(D17*'6.4'!$K$14,0)</f>
        <v>34658928</v>
      </c>
      <c r="F17" s="38">
        <v>20786468</v>
      </c>
      <c r="G17" s="23">
        <f t="shared" si="1"/>
        <v>0.6</v>
      </c>
      <c r="H17" s="253" t="s">
        <v>81</v>
      </c>
      <c r="I17" s="64"/>
      <c r="K17" s="2"/>
    </row>
    <row r="18" spans="1:13" x14ac:dyDescent="0.2">
      <c r="A18" s="62" t="str">
        <f t="shared" si="2"/>
        <v>1971</v>
      </c>
      <c r="B18" s="62"/>
      <c r="C18" s="228">
        <v>10640335</v>
      </c>
      <c r="D18" s="38">
        <v>13198133</v>
      </c>
      <c r="E18" s="31">
        <f>ROUND(D18*'6.4'!$K$14,0)</f>
        <v>34539514</v>
      </c>
      <c r="F18" s="38">
        <v>22731206</v>
      </c>
      <c r="G18" s="23">
        <f t="shared" si="1"/>
        <v>0.65800000000000003</v>
      </c>
      <c r="H18" s="253" t="s">
        <v>81</v>
      </c>
      <c r="I18" s="66"/>
      <c r="K18" s="2"/>
    </row>
    <row r="19" spans="1:13" x14ac:dyDescent="0.2">
      <c r="A19" s="62" t="str">
        <f t="shared" si="2"/>
        <v>1972</v>
      </c>
      <c r="B19" s="62"/>
      <c r="C19" s="228">
        <v>12302040</v>
      </c>
      <c r="D19" s="38">
        <v>13902740</v>
      </c>
      <c r="E19" s="31">
        <f>ROUND(D19*'6.4'!$K$14,0)</f>
        <v>36383471</v>
      </c>
      <c r="F19" s="38">
        <v>2242093</v>
      </c>
      <c r="G19" s="23">
        <f t="shared" si="1"/>
        <v>6.2E-2</v>
      </c>
      <c r="H19" s="253"/>
      <c r="I19" s="64"/>
      <c r="K19" s="2"/>
    </row>
    <row r="20" spans="1:13" x14ac:dyDescent="0.2">
      <c r="A20" t="str">
        <f t="shared" si="2"/>
        <v>1973</v>
      </c>
      <c r="B20" s="25"/>
      <c r="C20" s="228">
        <v>12935382</v>
      </c>
      <c r="D20" s="38">
        <v>12724690</v>
      </c>
      <c r="E20" s="31">
        <f>ROUND(D20*'6.4'!$K$14,0)</f>
        <v>33300514</v>
      </c>
      <c r="F20" s="38">
        <v>4933261</v>
      </c>
      <c r="G20" s="23">
        <f t="shared" si="1"/>
        <v>0.14799999999999999</v>
      </c>
      <c r="H20" s="228"/>
      <c r="I20" s="20"/>
      <c r="K20" s="2"/>
      <c r="M20" s="38"/>
    </row>
    <row r="21" spans="1:13" x14ac:dyDescent="0.2">
      <c r="A21" t="str">
        <f t="shared" si="2"/>
        <v>1974</v>
      </c>
      <c r="B21" s="25"/>
      <c r="C21" s="228">
        <v>12794652</v>
      </c>
      <c r="D21" s="38">
        <v>11637700</v>
      </c>
      <c r="E21" s="31">
        <f>ROUND(D21*'6.4'!$K$14,0)</f>
        <v>30455861</v>
      </c>
      <c r="F21" s="38">
        <v>2293219</v>
      </c>
      <c r="G21" s="23">
        <f t="shared" si="1"/>
        <v>7.4999999999999997E-2</v>
      </c>
      <c r="H21" s="228"/>
      <c r="I21" s="64"/>
      <c r="K21" s="2"/>
      <c r="M21" s="38"/>
    </row>
    <row r="22" spans="1:13" x14ac:dyDescent="0.2">
      <c r="A22" t="str">
        <f t="shared" si="2"/>
        <v>1975</v>
      </c>
      <c r="B22" s="25"/>
      <c r="C22" s="228">
        <v>13633616</v>
      </c>
      <c r="D22" s="38">
        <v>12392309</v>
      </c>
      <c r="E22" s="31">
        <f>ROUND(D22*'6.4'!$K$14,0)</f>
        <v>32430673</v>
      </c>
      <c r="F22" s="38">
        <v>3062897</v>
      </c>
      <c r="G22" s="23">
        <f t="shared" si="1"/>
        <v>9.4E-2</v>
      </c>
      <c r="H22" s="228"/>
      <c r="I22" s="64"/>
      <c r="K22" s="2"/>
      <c r="M22" s="38"/>
    </row>
    <row r="23" spans="1:13" x14ac:dyDescent="0.2">
      <c r="A23" t="str">
        <f t="shared" si="2"/>
        <v>1976</v>
      </c>
      <c r="B23" s="25"/>
      <c r="C23" s="228">
        <v>17088846</v>
      </c>
      <c r="D23" s="38">
        <v>13884831</v>
      </c>
      <c r="E23" s="31">
        <f>ROUND(D23*'6.4'!$K$14,0)</f>
        <v>36336603</v>
      </c>
      <c r="F23" s="38">
        <v>1522489</v>
      </c>
      <c r="G23" s="23">
        <f>ROUND(F23/E23,3)</f>
        <v>4.2000000000000003E-2</v>
      </c>
      <c r="H23" s="228"/>
      <c r="I23" s="64"/>
      <c r="K23" s="2"/>
      <c r="M23" s="38"/>
    </row>
    <row r="24" spans="1:13" x14ac:dyDescent="0.2">
      <c r="A24" t="str">
        <f t="shared" si="2"/>
        <v>1977</v>
      </c>
      <c r="B24" s="25"/>
      <c r="C24" s="228">
        <v>23643216</v>
      </c>
      <c r="D24" s="38">
        <v>17474220</v>
      </c>
      <c r="E24" s="31">
        <f>ROUND(D24*'6.4'!$K$14,0)</f>
        <v>45730034</v>
      </c>
      <c r="F24" s="38">
        <v>972383</v>
      </c>
      <c r="G24" s="23">
        <f t="shared" si="1"/>
        <v>2.1000000000000001E-2</v>
      </c>
      <c r="H24" s="228"/>
      <c r="I24" s="64"/>
      <c r="K24" s="2"/>
      <c r="M24" s="38"/>
    </row>
    <row r="25" spans="1:13" x14ac:dyDescent="0.2">
      <c r="A25" t="str">
        <f t="shared" si="2"/>
        <v>1978</v>
      </c>
      <c r="B25" s="25"/>
      <c r="C25" s="228">
        <v>28157329</v>
      </c>
      <c r="D25" s="38">
        <v>19320941</v>
      </c>
      <c r="E25" s="31">
        <f>ROUND(D25*'6.4'!$K$14,0)</f>
        <v>50562903</v>
      </c>
      <c r="F25" s="38">
        <v>1449823</v>
      </c>
      <c r="G25" s="23">
        <f t="shared" si="1"/>
        <v>2.9000000000000001E-2</v>
      </c>
      <c r="H25" s="228"/>
      <c r="I25" s="64"/>
      <c r="K25" s="2"/>
      <c r="M25" s="38"/>
    </row>
    <row r="26" spans="1:13" x14ac:dyDescent="0.2">
      <c r="A26" t="str">
        <f t="shared" si="2"/>
        <v>1979</v>
      </c>
      <c r="B26" s="25"/>
      <c r="C26" s="228">
        <v>32867536</v>
      </c>
      <c r="D26" s="38">
        <v>21563567</v>
      </c>
      <c r="E26" s="31">
        <f>ROUND(D26*'6.4'!$K$14,0)</f>
        <v>56431855</v>
      </c>
      <c r="F26" s="38">
        <v>3940899</v>
      </c>
      <c r="G26" s="23">
        <f>ROUND(F26/E26,3)</f>
        <v>7.0000000000000007E-2</v>
      </c>
      <c r="H26" s="228"/>
      <c r="I26" s="64"/>
      <c r="K26" s="2"/>
      <c r="M26" s="38"/>
    </row>
    <row r="27" spans="1:13" x14ac:dyDescent="0.2">
      <c r="A27" t="str">
        <f t="shared" si="2"/>
        <v>1980</v>
      </c>
      <c r="B27" s="25"/>
      <c r="C27" s="228">
        <v>32179994</v>
      </c>
      <c r="D27" s="38">
        <v>22416603</v>
      </c>
      <c r="E27" s="31">
        <f>ROUND(D27*'6.4'!$K$14,0)</f>
        <v>58664250</v>
      </c>
      <c r="F27" s="38"/>
      <c r="G27" s="210">
        <v>0.748</v>
      </c>
      <c r="H27" s="228" t="s">
        <v>81</v>
      </c>
      <c r="I27" s="64"/>
      <c r="K27" s="2"/>
      <c r="M27" s="38"/>
    </row>
    <row r="28" spans="1:13" x14ac:dyDescent="0.2">
      <c r="A28" t="str">
        <f t="shared" si="2"/>
        <v>1981</v>
      </c>
      <c r="B28" s="25"/>
      <c r="C28" s="229">
        <v>30817037</v>
      </c>
      <c r="D28" s="38">
        <v>29693419</v>
      </c>
      <c r="E28" s="31">
        <f>ROUND(D28*'6.4'!$K$14,0)</f>
        <v>77707678</v>
      </c>
      <c r="F28" s="38"/>
      <c r="G28" s="210">
        <v>3.2000000000000001E-2</v>
      </c>
      <c r="H28" s="228"/>
      <c r="I28" s="64"/>
      <c r="K28" s="2"/>
      <c r="M28" s="38"/>
    </row>
    <row r="29" spans="1:13" x14ac:dyDescent="0.2">
      <c r="A29" s="9" t="str">
        <f t="shared" si="2"/>
        <v>1982</v>
      </c>
      <c r="B29" s="26"/>
      <c r="C29" s="263">
        <v>28140159</v>
      </c>
      <c r="D29" s="70">
        <v>32398474</v>
      </c>
      <c r="E29" s="32">
        <f>ROUND(D29*'6.4'!$K$14,0)</f>
        <v>84786806</v>
      </c>
      <c r="F29" s="70"/>
      <c r="G29" s="264">
        <v>2.3E-2</v>
      </c>
      <c r="H29" s="263"/>
      <c r="I29" s="64"/>
      <c r="K29" s="2"/>
      <c r="M29" s="38"/>
    </row>
    <row r="30" spans="1:13" x14ac:dyDescent="0.2">
      <c r="A30" s="50" t="str">
        <f t="shared" si="2"/>
        <v>1983</v>
      </c>
      <c r="B30" s="50"/>
      <c r="C30" s="229">
        <v>28786234</v>
      </c>
      <c r="D30" s="47">
        <v>39817626</v>
      </c>
      <c r="E30" s="128">
        <f>'6.4'!E14+'6.5'!E14+'6.6'!E14+'6.7'!E14</f>
        <v>75333571.475999996</v>
      </c>
      <c r="F30" s="128"/>
      <c r="G30" s="53">
        <f>'6.3'!H14</f>
        <v>4.2060000000000004</v>
      </c>
      <c r="H30" s="229" t="s">
        <v>81</v>
      </c>
      <c r="I30" s="64"/>
      <c r="K30" s="2"/>
      <c r="M30" s="38"/>
    </row>
    <row r="31" spans="1:13" x14ac:dyDescent="0.2">
      <c r="A31" s="50" t="str">
        <f t="shared" si="2"/>
        <v>1984</v>
      </c>
      <c r="B31" s="50"/>
      <c r="C31" s="229">
        <v>20078668</v>
      </c>
      <c r="D31" s="47">
        <v>34626400</v>
      </c>
      <c r="E31" s="128">
        <f>'6.4'!E15+'6.5'!E15+'6.6'!E15+'6.7'!E15</f>
        <v>52545873.854999997</v>
      </c>
      <c r="F31" s="128"/>
      <c r="G31" s="53">
        <f>'6.3'!H15</f>
        <v>0.124</v>
      </c>
      <c r="H31" s="229"/>
      <c r="I31" s="64"/>
      <c r="K31" s="2"/>
      <c r="M31" s="38"/>
    </row>
    <row r="32" spans="1:13" x14ac:dyDescent="0.2">
      <c r="A32" t="str">
        <f t="shared" si="2"/>
        <v>1985</v>
      </c>
      <c r="C32" s="228">
        <v>30043452</v>
      </c>
      <c r="D32" s="38">
        <v>53801222</v>
      </c>
      <c r="E32" s="128">
        <f>'6.4'!E16+'6.5'!E16+'6.6'!E16+'6.7'!E16</f>
        <v>78623714.093999997</v>
      </c>
      <c r="F32" s="31"/>
      <c r="G32" s="53">
        <f>'6.3'!H16</f>
        <v>5.2999999999999999E-2</v>
      </c>
      <c r="H32" s="228"/>
      <c r="I32" s="262"/>
      <c r="K32" s="2"/>
    </row>
    <row r="33" spans="1:13" x14ac:dyDescent="0.2">
      <c r="A33" t="str">
        <f t="shared" si="2"/>
        <v>1986</v>
      </c>
      <c r="C33" s="228">
        <v>36673352</v>
      </c>
      <c r="D33" s="38"/>
      <c r="E33" s="128">
        <f>'6.4'!E17+'6.5'!E17+'6.6'!E17+'6.7'!E17</f>
        <v>95974159.497000009</v>
      </c>
      <c r="F33" s="31"/>
      <c r="G33" s="53">
        <f>'6.3'!H17</f>
        <v>9.5000000000000001E-2</v>
      </c>
      <c r="H33" s="229" t="s">
        <v>81</v>
      </c>
      <c r="I33" s="262"/>
      <c r="K33" s="2"/>
    </row>
    <row r="34" spans="1:13" x14ac:dyDescent="0.2">
      <c r="A34" t="str">
        <f t="shared" si="2"/>
        <v>1987</v>
      </c>
      <c r="C34" s="228">
        <v>41598709</v>
      </c>
      <c r="D34" s="38"/>
      <c r="E34" s="128">
        <f>'6.4'!E18+'6.5'!E18+'6.6'!E18+'6.7'!E18</f>
        <v>108863821.873</v>
      </c>
      <c r="F34" s="31"/>
      <c r="G34" s="53">
        <f>'6.3'!H18</f>
        <v>2.4E-2</v>
      </c>
      <c r="H34" s="229" t="s">
        <v>340</v>
      </c>
      <c r="I34" s="262"/>
      <c r="K34" s="2"/>
    </row>
    <row r="35" spans="1:13" x14ac:dyDescent="0.2">
      <c r="A35" t="str">
        <f t="shared" si="2"/>
        <v>1988</v>
      </c>
      <c r="C35" s="228">
        <v>45044392</v>
      </c>
      <c r="D35" s="84"/>
      <c r="E35" s="128">
        <f>'6.4'!E19+'6.5'!E19+'6.6'!E19+'6.7'!E19</f>
        <v>117881171.021</v>
      </c>
      <c r="F35" s="31"/>
      <c r="G35" s="53">
        <f>'6.3'!H19</f>
        <v>0.10299999999999999</v>
      </c>
      <c r="H35" s="244"/>
      <c r="I35" s="262"/>
      <c r="K35" s="2"/>
    </row>
    <row r="36" spans="1:13" x14ac:dyDescent="0.2">
      <c r="A36" t="str">
        <f t="shared" si="2"/>
        <v>1989</v>
      </c>
      <c r="C36" s="251">
        <v>41745774</v>
      </c>
      <c r="D36" s="84"/>
      <c r="E36" s="128">
        <f>'6.4'!E20+'6.5'!E20+'6.6'!E20+'6.7'!E20</f>
        <v>109248692.706</v>
      </c>
      <c r="F36" s="31"/>
      <c r="G36" s="53">
        <f>'6.3'!H20</f>
        <v>7.0000000000000007E-2</v>
      </c>
      <c r="H36" s="244" t="s">
        <v>81</v>
      </c>
      <c r="I36" s="262"/>
      <c r="K36" s="2"/>
    </row>
    <row r="37" spans="1:13" x14ac:dyDescent="0.2">
      <c r="A37" s="62" t="str">
        <f t="shared" si="2"/>
        <v>1990</v>
      </c>
      <c r="B37" s="62"/>
      <c r="C37" s="229">
        <v>40384195</v>
      </c>
      <c r="D37" s="84"/>
      <c r="E37" s="128">
        <f>'6.4'!E21+'6.5'!E21+'6.6'!E21+'6.7'!E21</f>
        <v>105685438.53200001</v>
      </c>
      <c r="F37" s="31"/>
      <c r="G37" s="53">
        <f>'6.3'!H21</f>
        <v>0.16800000000000001</v>
      </c>
      <c r="H37" s="244" t="s">
        <v>81</v>
      </c>
      <c r="I37" s="262"/>
      <c r="K37" s="2"/>
    </row>
    <row r="38" spans="1:13" x14ac:dyDescent="0.2">
      <c r="A38" t="str">
        <f t="shared" si="2"/>
        <v>1991</v>
      </c>
      <c r="B38" s="22"/>
      <c r="C38" s="106">
        <f>ROUND('[2]TICO 2'!$S33,0)</f>
        <v>46237137</v>
      </c>
      <c r="D38" s="84"/>
      <c r="E38" s="128">
        <f>'6.4'!E22+'6.5'!E22+'6.6'!E22+'6.7'!E22</f>
        <v>121002587.193</v>
      </c>
      <c r="F38" s="31"/>
      <c r="G38" s="53">
        <f>'6.3'!H22</f>
        <v>0.70899999999999996</v>
      </c>
      <c r="H38" s="244" t="s">
        <v>340</v>
      </c>
      <c r="I38" s="262"/>
      <c r="K38" s="2"/>
    </row>
    <row r="39" spans="1:13" x14ac:dyDescent="0.2">
      <c r="A39" t="str">
        <f t="shared" si="2"/>
        <v>1992</v>
      </c>
      <c r="B39" s="22"/>
      <c r="C39" s="106">
        <f>ROUND('[2]TICO 2'!$S34,0)</f>
        <v>44512572</v>
      </c>
      <c r="D39" s="84"/>
      <c r="E39" s="128">
        <f>'6.4'!E23+'6.5'!E23+'6.6'!E23+'6.7'!E23</f>
        <v>116901523.32800001</v>
      </c>
      <c r="F39" s="31"/>
      <c r="G39" s="53">
        <f>'6.3'!H23</f>
        <v>6.3E-2</v>
      </c>
      <c r="H39" s="244" t="s">
        <v>340</v>
      </c>
      <c r="I39" s="262"/>
      <c r="K39" s="2"/>
    </row>
    <row r="40" spans="1:13" x14ac:dyDescent="0.2">
      <c r="A40" t="str">
        <f t="shared" si="2"/>
        <v>1993</v>
      </c>
      <c r="B40" s="22"/>
      <c r="C40" s="106">
        <f>ROUND('[2]TICO 2'!$S35,0)</f>
        <v>50741120</v>
      </c>
      <c r="D40" s="84"/>
      <c r="E40" s="128">
        <f>'6.4'!E24+'6.5'!E24+'6.6'!E24+'6.7'!E24</f>
        <v>131102375.45699999</v>
      </c>
      <c r="F40" s="31"/>
      <c r="G40" s="53">
        <f>'6.3'!H24</f>
        <v>0.105</v>
      </c>
      <c r="H40" s="244" t="s">
        <v>340</v>
      </c>
      <c r="I40" s="262"/>
      <c r="K40" s="2"/>
    </row>
    <row r="41" spans="1:13" x14ac:dyDescent="0.2">
      <c r="A41" t="str">
        <f t="shared" si="2"/>
        <v>1994</v>
      </c>
      <c r="C41" s="106">
        <f>ROUND('[2]TICO 2'!$S36,0)</f>
        <v>57584585</v>
      </c>
      <c r="D41" s="84"/>
      <c r="E41" s="128">
        <f>'6.4'!E25+'6.5'!E25+'6.6'!E25+'6.7'!E25</f>
        <v>147667297.09999999</v>
      </c>
      <c r="F41" s="31"/>
      <c r="G41" s="53">
        <f>'6.3'!H25</f>
        <v>5.1999999999999998E-2</v>
      </c>
      <c r="H41" s="244" t="s">
        <v>340</v>
      </c>
      <c r="I41" s="262"/>
      <c r="K41" s="2"/>
    </row>
    <row r="42" spans="1:13" x14ac:dyDescent="0.2">
      <c r="A42" t="str">
        <f t="shared" si="2"/>
        <v>1995</v>
      </c>
      <c r="C42" s="106">
        <f>ROUND('[2]TICO 2'!$S37,0)</f>
        <v>60740049</v>
      </c>
      <c r="D42" s="84"/>
      <c r="E42" s="128">
        <f>'6.4'!E26+'6.5'!E26+'6.6'!E26+'6.7'!E26</f>
        <v>155822209.176</v>
      </c>
      <c r="F42" s="31"/>
      <c r="G42" s="53">
        <f>'6.3'!H26</f>
        <v>7.1999999999999995E-2</v>
      </c>
      <c r="H42" s="244" t="s">
        <v>340</v>
      </c>
      <c r="I42" s="262"/>
      <c r="K42" s="2"/>
    </row>
    <row r="43" spans="1:13" x14ac:dyDescent="0.2">
      <c r="A43" t="str">
        <f t="shared" si="2"/>
        <v>1996</v>
      </c>
      <c r="C43" s="106">
        <f>ROUND('[2]TICO 2'!$S38,0)</f>
        <v>71865572</v>
      </c>
      <c r="D43" s="84"/>
      <c r="E43" s="128">
        <f>'6.4'!E27+'6.5'!E27+'6.6'!E27+'6.7'!E27</f>
        <v>183728987.22799999</v>
      </c>
      <c r="F43" s="31"/>
      <c r="G43" s="53">
        <f>'6.3'!H27</f>
        <v>3.6999999999999998E-2</v>
      </c>
      <c r="H43" s="244" t="s">
        <v>340</v>
      </c>
      <c r="I43" s="262"/>
      <c r="K43" s="2"/>
    </row>
    <row r="44" spans="1:13" x14ac:dyDescent="0.2">
      <c r="A44" t="str">
        <f t="shared" si="2"/>
        <v>1997</v>
      </c>
      <c r="C44" s="106">
        <f>ROUND('[2]TICO 2'!$S39,0)</f>
        <v>79154547</v>
      </c>
      <c r="D44" s="84"/>
      <c r="E44" s="128">
        <f>'6.4'!E28+'6.5'!E28+'6.6'!E28+'6.7'!E28</f>
        <v>207521219.42299998</v>
      </c>
      <c r="F44" s="31"/>
      <c r="G44" s="53">
        <f>'6.3'!H28</f>
        <v>4.2999999999999997E-2</v>
      </c>
      <c r="H44" s="244" t="s">
        <v>340</v>
      </c>
      <c r="I44" s="262"/>
      <c r="K44" s="2"/>
    </row>
    <row r="45" spans="1:13" x14ac:dyDescent="0.2">
      <c r="A45" t="str">
        <f t="shared" si="2"/>
        <v>1998</v>
      </c>
      <c r="C45" s="106">
        <f>ROUND('[2]TICO 2'!$S40,0)</f>
        <v>80238260</v>
      </c>
      <c r="D45" s="84"/>
      <c r="E45" s="128">
        <f>'6.4'!E29+'6.5'!E29+'6.6'!E29+'6.7'!E29</f>
        <v>208993573.08399999</v>
      </c>
      <c r="F45" s="31"/>
      <c r="G45" s="53">
        <f>'6.3'!H29</f>
        <v>0.19400000000000001</v>
      </c>
      <c r="H45" s="244" t="s">
        <v>340</v>
      </c>
      <c r="I45" s="262"/>
      <c r="K45" s="2"/>
    </row>
    <row r="46" spans="1:13" x14ac:dyDescent="0.2">
      <c r="A46" t="str">
        <f t="shared" si="2"/>
        <v>1999</v>
      </c>
      <c r="C46" s="106">
        <f>ROUND('[2]TICO 2'!$S41,0)</f>
        <v>71026552</v>
      </c>
      <c r="D46" s="84"/>
      <c r="E46" s="128">
        <f>'6.4'!E30+'6.5'!E30+'6.6'!E30+'6.7'!E30</f>
        <v>185055377.36801705</v>
      </c>
      <c r="F46" s="31"/>
      <c r="G46" s="53">
        <f>'6.3'!H30</f>
        <v>8.4000000000000005E-2</v>
      </c>
      <c r="H46" s="244" t="s">
        <v>81</v>
      </c>
      <c r="I46" s="262"/>
      <c r="K46" s="2"/>
      <c r="L46" t="s">
        <v>220</v>
      </c>
      <c r="M46" t="s">
        <v>221</v>
      </c>
    </row>
    <row r="47" spans="1:13" x14ac:dyDescent="0.2">
      <c r="A47" t="str">
        <f t="shared" si="2"/>
        <v>2000</v>
      </c>
      <c r="C47" s="106">
        <f>ROUND('[2]TICO 2'!$S42,0)</f>
        <v>75114174</v>
      </c>
      <c r="D47" s="217"/>
      <c r="E47" s="128">
        <f>'6.4'!E31+'6.5'!E31+'6.6'!E31+'6.7'!E31</f>
        <v>179255335.80608049</v>
      </c>
      <c r="F47" s="31"/>
      <c r="G47" s="53">
        <f>'6.3'!H31</f>
        <v>5.5E-2</v>
      </c>
      <c r="H47" s="244" t="s">
        <v>340</v>
      </c>
      <c r="I47" s="262"/>
      <c r="K47" s="2"/>
      <c r="L47" s="88">
        <f>'6.4'!K$53</f>
        <v>43373</v>
      </c>
      <c r="M47" s="88">
        <f>'6.4'!L$53</f>
        <v>43465</v>
      </c>
    </row>
    <row r="48" spans="1:13" x14ac:dyDescent="0.2">
      <c r="A48" t="str">
        <f t="shared" si="2"/>
        <v>2001</v>
      </c>
      <c r="C48" s="106">
        <f>ROUND('[2]TICO 2'!$S43,0)</f>
        <v>74726401</v>
      </c>
      <c r="D48" s="217"/>
      <c r="E48" s="128">
        <f>'6.4'!E32+'6.5'!E32+'6.6'!E32+'6.7'!E32</f>
        <v>149512082.73639709</v>
      </c>
      <c r="F48" s="31"/>
      <c r="G48" s="53">
        <f>'6.3'!H32</f>
        <v>7.4999999999999997E-2</v>
      </c>
      <c r="H48" s="244" t="s">
        <v>340</v>
      </c>
      <c r="I48" s="262"/>
      <c r="K48" s="2"/>
    </row>
    <row r="49" spans="1:11" x14ac:dyDescent="0.2">
      <c r="A49" t="str">
        <f t="shared" si="2"/>
        <v>2002</v>
      </c>
      <c r="C49" s="106">
        <f>ROUND('[2]TICO 2'!$S44,0)</f>
        <v>86289350</v>
      </c>
      <c r="D49" s="217"/>
      <c r="E49" s="128">
        <f>'6.4'!E33+'6.5'!E33+'6.6'!E33+'6.7'!E33</f>
        <v>170408568.74080133</v>
      </c>
      <c r="F49" s="31"/>
      <c r="G49" s="53">
        <f>'6.3'!H33</f>
        <v>0.17299999999999999</v>
      </c>
      <c r="H49" s="244" t="s">
        <v>340</v>
      </c>
      <c r="I49" s="262"/>
      <c r="K49" s="2"/>
    </row>
    <row r="50" spans="1:11" x14ac:dyDescent="0.2">
      <c r="A50" t="str">
        <f t="shared" si="2"/>
        <v>2003</v>
      </c>
      <c r="C50" s="106">
        <f>ROUND('[2]TICO 2'!$S45,0)</f>
        <v>112200741</v>
      </c>
      <c r="D50" s="217"/>
      <c r="E50" s="128">
        <f>'6.4'!E34+'6.5'!E34+'6.6'!E34+'6.7'!E34</f>
        <v>219135227.92344683</v>
      </c>
      <c r="G50" s="53">
        <f>'6.3'!H34</f>
        <v>0.21</v>
      </c>
      <c r="H50" s="244" t="s">
        <v>81</v>
      </c>
      <c r="I50" s="262"/>
      <c r="K50" s="2"/>
    </row>
    <row r="51" spans="1:11" x14ac:dyDescent="0.2">
      <c r="A51" t="str">
        <f t="shared" si="2"/>
        <v>2004</v>
      </c>
      <c r="C51" s="106">
        <f>ROUND('[2]TICO 2'!$S46,0)</f>
        <v>123050217</v>
      </c>
      <c r="D51" s="217"/>
      <c r="E51" s="128">
        <f>'6.4'!E35+'6.5'!E35+'6.6'!E35+'6.7'!E35</f>
        <v>233180489.70767826</v>
      </c>
      <c r="F51" s="62"/>
      <c r="G51" s="53">
        <f>'6.3'!H35</f>
        <v>1.7999999999999999E-2</v>
      </c>
      <c r="H51" s="244" t="s">
        <v>340</v>
      </c>
      <c r="I51" s="262"/>
      <c r="K51" s="2"/>
    </row>
    <row r="52" spans="1:11" x14ac:dyDescent="0.2">
      <c r="A52" t="str">
        <f t="shared" si="2"/>
        <v>2005</v>
      </c>
      <c r="C52" s="106">
        <f>ROUND('[2]TICO 2'!$S47,0)</f>
        <v>135380924</v>
      </c>
      <c r="D52" s="217"/>
      <c r="E52" s="128">
        <f>'6.4'!E36+'6.5'!E36+'6.6'!E36+'6.7'!E36</f>
        <v>244968041.14574987</v>
      </c>
      <c r="G52" s="53">
        <f>'6.3'!H36</f>
        <v>1.1419999999999999</v>
      </c>
      <c r="H52" s="244" t="s">
        <v>81</v>
      </c>
      <c r="I52" s="262"/>
      <c r="K52" s="2"/>
    </row>
    <row r="53" spans="1:11" x14ac:dyDescent="0.2">
      <c r="A53" s="50" t="str">
        <f t="shared" si="2"/>
        <v>2006</v>
      </c>
      <c r="B53" s="51"/>
      <c r="C53" s="106">
        <f>ROUND('[2]TICO 2'!$S48,0)</f>
        <v>154699767</v>
      </c>
      <c r="D53" s="217"/>
      <c r="E53" s="128">
        <f>'6.4'!E37+'6.5'!E37+'6.6'!E37+'6.7'!E37</f>
        <v>279039773.43162179</v>
      </c>
      <c r="F53" s="128"/>
      <c r="G53" s="53">
        <f>'6.3'!H37</f>
        <v>2.1000000000000001E-2</v>
      </c>
      <c r="H53" s="244" t="s">
        <v>340</v>
      </c>
      <c r="I53" s="262"/>
      <c r="K53" s="2"/>
    </row>
    <row r="54" spans="1:11" x14ac:dyDescent="0.2">
      <c r="A54" s="50" t="str">
        <f t="shared" si="2"/>
        <v>2007</v>
      </c>
      <c r="C54" s="106">
        <f>ROUND('[2]TICO 2'!$S49,0)</f>
        <v>219914305</v>
      </c>
      <c r="D54" s="217"/>
      <c r="E54" s="128">
        <f>'6.4'!E38+'6.5'!E38+'6.6'!E38+'6.7'!E38</f>
        <v>367465453.11653084</v>
      </c>
      <c r="G54" s="53">
        <f>'6.3'!H38</f>
        <v>5.2999999999999999E-2</v>
      </c>
      <c r="H54" s="244" t="s">
        <v>81</v>
      </c>
      <c r="I54" s="20"/>
      <c r="K54" s="2"/>
    </row>
    <row r="55" spans="1:11" x14ac:dyDescent="0.2">
      <c r="A55" s="50" t="str">
        <f t="shared" si="2"/>
        <v>2008</v>
      </c>
      <c r="C55" s="106">
        <f>ROUND('[2]TICO 2'!$S50,0)</f>
        <v>289558186</v>
      </c>
      <c r="D55" s="217"/>
      <c r="E55" s="128">
        <f>'6.4'!E39+'6.5'!E39+'6.6'!E39+'6.7'!E39</f>
        <v>459720536.67116964</v>
      </c>
      <c r="G55" s="53">
        <f>'6.3'!H39</f>
        <v>4.1769999999999996</v>
      </c>
      <c r="H55" s="244" t="s">
        <v>81</v>
      </c>
      <c r="I55" s="20"/>
      <c r="K55" s="2"/>
    </row>
    <row r="56" spans="1:11" x14ac:dyDescent="0.2">
      <c r="A56" s="50" t="str">
        <f t="shared" si="2"/>
        <v>2009</v>
      </c>
      <c r="C56" s="106">
        <f>ROUND('[2]TICO 2'!$S51,0)</f>
        <v>327305758</v>
      </c>
      <c r="D56" s="217"/>
      <c r="E56" s="128">
        <f>'6.4'!E40+'6.5'!E40+'6.6'!E40+'6.7'!E40</f>
        <v>481844994.4028402</v>
      </c>
      <c r="G56" s="53">
        <f>'6.3'!H40</f>
        <v>1.9E-2</v>
      </c>
      <c r="H56" s="244"/>
      <c r="I56" s="64"/>
      <c r="K56" s="2"/>
    </row>
    <row r="57" spans="1:11" x14ac:dyDescent="0.2">
      <c r="A57" s="50" t="str">
        <f t="shared" si="2"/>
        <v>2010</v>
      </c>
      <c r="C57" s="106">
        <f>ROUND('[2]TICO 2'!$S52,0)</f>
        <v>355219215</v>
      </c>
      <c r="D57" s="217"/>
      <c r="E57" s="128">
        <f>'6.4'!E41+'6.5'!E41+'6.6'!E41+'6.7'!E41</f>
        <v>492693662.51542836</v>
      </c>
      <c r="G57" s="53">
        <f>'6.3'!H41</f>
        <v>3.9E-2</v>
      </c>
      <c r="H57" s="244"/>
      <c r="I57" s="64"/>
      <c r="K57" s="2"/>
    </row>
    <row r="58" spans="1:11" x14ac:dyDescent="0.2">
      <c r="A58" s="50" t="str">
        <f t="shared" si="2"/>
        <v>2011</v>
      </c>
      <c r="C58" s="106">
        <f>ROUND('[2]TICO 2'!$S53,0)</f>
        <v>370875863</v>
      </c>
      <c r="D58" s="217"/>
      <c r="E58" s="128">
        <f>'6.4'!E42+'6.5'!E42+'6.6'!E42+'6.7'!E42</f>
        <v>507182054.41250932</v>
      </c>
      <c r="G58" s="53">
        <f>'6.3'!H42</f>
        <v>0.189</v>
      </c>
      <c r="H58" s="244" t="s">
        <v>340</v>
      </c>
      <c r="I58" s="64"/>
      <c r="K58" s="2"/>
    </row>
    <row r="59" spans="1:11" x14ac:dyDescent="0.2">
      <c r="A59" s="50" t="str">
        <f t="shared" si="2"/>
        <v>2012</v>
      </c>
      <c r="B59" s="50"/>
      <c r="C59" s="106">
        <f>ROUND('[2]TICO 2'!$S54,0)</f>
        <v>406981851</v>
      </c>
      <c r="D59" s="217"/>
      <c r="E59" s="128">
        <f>'6.4'!E43+'6.5'!E43+'6.6'!E43+'6.7'!E43</f>
        <v>527628803.32911056</v>
      </c>
      <c r="F59" s="50"/>
      <c r="G59" s="53">
        <f>'6.3'!H43</f>
        <v>0.14000000000000001</v>
      </c>
      <c r="H59" s="245"/>
      <c r="I59" s="20"/>
      <c r="K59" s="2"/>
    </row>
    <row r="60" spans="1:11" x14ac:dyDescent="0.2">
      <c r="A60" s="50" t="str">
        <f t="shared" si="2"/>
        <v>2013</v>
      </c>
      <c r="B60" s="50"/>
      <c r="C60" s="106">
        <f>ROUND('[2]TICO 2'!$S55,0)</f>
        <v>440952159</v>
      </c>
      <c r="D60" s="232"/>
      <c r="E60" s="128">
        <f>'6.4'!E44+'6.5'!E44+'6.6'!E44+'6.7'!E44</f>
        <v>544419639.38136816</v>
      </c>
      <c r="F60" s="50"/>
      <c r="G60" s="53">
        <f>'6.3'!H44</f>
        <v>0.16900000000000001</v>
      </c>
      <c r="H60" s="244" t="s">
        <v>340</v>
      </c>
      <c r="I60" s="64"/>
      <c r="K60" s="2"/>
    </row>
    <row r="61" spans="1:11" x14ac:dyDescent="0.2">
      <c r="A61" s="50" t="str">
        <f t="shared" si="2"/>
        <v>2014</v>
      </c>
      <c r="B61" s="50"/>
      <c r="C61" s="106">
        <f>ROUND('[2]TICO 2'!$S56,0)</f>
        <v>477983216</v>
      </c>
      <c r="D61" s="232"/>
      <c r="E61" s="128">
        <f>'6.4'!E45+'6.5'!E45+'6.6'!E45+'6.7'!E45</f>
        <v>560428048.66979623</v>
      </c>
      <c r="F61" s="50"/>
      <c r="G61" s="53">
        <f>'6.3'!H45</f>
        <v>2.3E-2</v>
      </c>
      <c r="H61" s="244"/>
      <c r="I61" s="64"/>
      <c r="K61" s="2"/>
    </row>
    <row r="62" spans="1:11" x14ac:dyDescent="0.2">
      <c r="A62" s="50" t="str">
        <f t="shared" si="2"/>
        <v>2015</v>
      </c>
      <c r="B62" s="50"/>
      <c r="C62" s="106">
        <f>ROUND('[2]TICO 2'!$S57,0)</f>
        <v>517579765</v>
      </c>
      <c r="D62" s="232"/>
      <c r="E62" s="128">
        <f>'6.4'!E46+'6.5'!E46+'6.6'!E46+'6.7'!E46</f>
        <v>577523192.92809319</v>
      </c>
      <c r="F62" s="50"/>
      <c r="G62" s="53">
        <f>'6.3'!H46</f>
        <v>0.24849599999999999</v>
      </c>
      <c r="H62" s="245"/>
      <c r="I62" s="172"/>
      <c r="K62" s="2"/>
    </row>
    <row r="63" spans="1:11" x14ac:dyDescent="0.2">
      <c r="A63" s="50" t="str">
        <f t="shared" si="2"/>
        <v>2016</v>
      </c>
      <c r="B63" s="50"/>
      <c r="C63" s="106">
        <f>ROUND('[2]TICO 2'!$S58,0)</f>
        <v>541982800</v>
      </c>
      <c r="D63" s="232"/>
      <c r="E63" s="128">
        <f>'6.4'!E47+'6.5'!E47+'6.6'!E47+'6.7'!E47</f>
        <v>578834797.20373964</v>
      </c>
      <c r="F63" s="50"/>
      <c r="G63" s="53">
        <f>'6.3'!H47</f>
        <v>8.795699999999998E-2</v>
      </c>
      <c r="H63" s="245"/>
      <c r="I63" s="50"/>
      <c r="K63" s="2"/>
    </row>
    <row r="64" spans="1:11" x14ac:dyDescent="0.2">
      <c r="A64" s="51">
        <v>2017</v>
      </c>
      <c r="B64" s="50"/>
      <c r="C64" s="106">
        <f>ROUND('[2]TICO 2'!$S59,0)</f>
        <v>533284592</v>
      </c>
      <c r="D64" s="232"/>
      <c r="E64" s="128">
        <f>'6.4'!E48+'6.5'!E48+'6.6'!E48+'6.7'!E48</f>
        <v>559347767.30000055</v>
      </c>
      <c r="F64" s="50"/>
      <c r="G64" s="53">
        <f>'6.3'!H48</f>
        <v>2.2418749999999998</v>
      </c>
      <c r="H64" s="245" t="s">
        <v>81</v>
      </c>
      <c r="I64" s="50"/>
      <c r="K64" s="2"/>
    </row>
    <row r="65" spans="1:11" x14ac:dyDescent="0.2">
      <c r="A65" s="26">
        <v>2018</v>
      </c>
      <c r="B65" s="9"/>
      <c r="C65" s="85">
        <f>ROUND('[2]TICO 2'!$S60,0)</f>
        <v>516750480</v>
      </c>
      <c r="D65" s="218"/>
      <c r="E65" s="32">
        <f>'6.4'!E49+'6.5'!E49+'6.6'!E49+'6.7'!E49</f>
        <v>529927436.99731946</v>
      </c>
      <c r="F65" s="9"/>
      <c r="G65" s="89">
        <f>'6.3'!H49</f>
        <v>3.8432000000000001E-2</v>
      </c>
      <c r="H65" s="245"/>
      <c r="I65" s="50"/>
      <c r="K65" s="2"/>
    </row>
    <row r="66" spans="1:11" x14ac:dyDescent="0.2">
      <c r="A66" s="51"/>
      <c r="B66" s="50"/>
      <c r="C66" s="106"/>
      <c r="D66" s="232"/>
      <c r="E66" s="128"/>
      <c r="F66" s="50"/>
      <c r="G66" s="53"/>
      <c r="H66" s="245"/>
      <c r="I66" s="50"/>
      <c r="K66" s="2"/>
    </row>
    <row r="67" spans="1:11" x14ac:dyDescent="0.2">
      <c r="A67" t="s">
        <v>31</v>
      </c>
      <c r="C67" s="33">
        <f>SUM(C13:C65)</f>
        <v>6861505076</v>
      </c>
      <c r="D67" s="33">
        <f>SUM(D13:D64)</f>
        <v>413720932</v>
      </c>
      <c r="E67" s="33">
        <f>SUM(E13:E65)</f>
        <v>10611557366.830698</v>
      </c>
      <c r="F67" s="62"/>
      <c r="G67" s="29">
        <f>ROUND(AVERAGE(G13:G65),3)</f>
        <v>0.34699999999999998</v>
      </c>
      <c r="K67" s="2"/>
    </row>
    <row r="68" spans="1:11" x14ac:dyDescent="0.2">
      <c r="A68" t="s">
        <v>132</v>
      </c>
      <c r="C68" s="62"/>
      <c r="D68" s="62"/>
      <c r="E68" s="62"/>
      <c r="F68" s="62"/>
      <c r="G68" s="29">
        <f>ROUND(SUMIF(H13:H65,"&lt;&gt;H",G13:G65)/COUNTIF(H13:H65,"&lt;&gt;H"),3)</f>
        <v>9.2999999999999999E-2</v>
      </c>
      <c r="K68" s="2"/>
    </row>
    <row r="69" spans="1:11" ht="12" thickBot="1" x14ac:dyDescent="0.25">
      <c r="A69" s="6" t="s">
        <v>74</v>
      </c>
      <c r="B69" s="6"/>
      <c r="C69" s="6"/>
      <c r="D69" s="6"/>
      <c r="E69" s="6"/>
      <c r="F69" s="6"/>
      <c r="G69" s="304">
        <f>ROUND(AVERAGE(G68:G68),3)</f>
        <v>9.2999999999999999E-2</v>
      </c>
      <c r="K69" s="2"/>
    </row>
    <row r="70" spans="1:11" ht="12" hidden="1" thickBot="1" x14ac:dyDescent="0.25">
      <c r="A70" s="6"/>
      <c r="B70" s="6"/>
      <c r="C70" s="6"/>
      <c r="D70" s="6"/>
      <c r="E70" s="6"/>
      <c r="F70" s="6"/>
      <c r="G70" s="6"/>
      <c r="K70" s="2"/>
    </row>
    <row r="71" spans="1:11" ht="12" thickTop="1" x14ac:dyDescent="0.2">
      <c r="A71" t="s">
        <v>18</v>
      </c>
      <c r="B71" s="22" t="str">
        <f>C11&amp;", "&amp;D11&amp;" Provided by TDI.  Accident years ending "&amp;TEXT($L$47,"m/d/xx")&amp;" as of "&amp;TEXT($M$47,"m/d/yyyy")</f>
        <v>(2), (3) Provided by TDI.  Accident years ending 9/30/xx as of 12/31/2018</v>
      </c>
      <c r="I71" s="50"/>
      <c r="K71" s="2"/>
    </row>
    <row r="72" spans="1:11" x14ac:dyDescent="0.2">
      <c r="B72" s="22" t="str">
        <f>E11&amp;" "&amp;A30&amp;" - "&amp;A65&amp;": Sum of "&amp;'6.4'!$I$1&amp;", "&amp;'6.4'!$I$2&amp;" - "&amp;'6.7'!$I$2&amp;", "&amp;'6.4'!E12&amp;"; "&amp;A13&amp;" - "&amp;A29&amp;": "&amp;D11&amp;" * "&amp;TEXT('6.4'!$K$14,"0.0")</f>
        <v>(4) 1983 - 2018: Sum of Exhibit 6, Sheet 4 - Sheet 7, (4); 1966 - 1982: (3) * 2.6</v>
      </c>
      <c r="F72" s="45"/>
      <c r="K72" s="2"/>
    </row>
    <row r="73" spans="1:11" x14ac:dyDescent="0.2">
      <c r="B73" s="22" t="str">
        <f>F11&amp;" Provided by TDI.  Accident years ending "&amp;TEXT($L$47,"m/d/xx")&amp;" as of 12/31/2010"</f>
        <v>(5) Provided by TDI.  Accident years ending 9/30/xx as of 12/31/2010</v>
      </c>
      <c r="D73" s="22"/>
      <c r="K73" s="2"/>
    </row>
    <row r="74" spans="1:11" x14ac:dyDescent="0.2">
      <c r="B74" s="22" t="str">
        <f>G11&amp;" "&amp;A30&amp;" - "&amp;A65&amp;": "&amp;'6.3'!$I$1&amp;", "&amp;'6.3'!$I$2&amp;"; "&amp;A13&amp;" - "&amp;A28&amp;": "&amp;F11&amp;" / "&amp;E11</f>
        <v>(6) 1983 - 2018: Exhibit 6, Sheet 3; 1966 - 1981: (5) / (4)</v>
      </c>
      <c r="K74" s="2"/>
    </row>
    <row r="75" spans="1:11" ht="12" thickBot="1" x14ac:dyDescent="0.25">
      <c r="B75" t="str">
        <f>H11&amp;" ""H"" indicates occurrence of hurricane(s) during the time period (years ending "&amp;TEXT($L$47,"m/d/xx")&amp;")"</f>
        <v>(7) "H" indicates occurrence of hurricane(s) during the time period (years ending 9/30/xx)</v>
      </c>
      <c r="K75" s="2"/>
    </row>
    <row r="76" spans="1:11" ht="12" thickBot="1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3"/>
    </row>
  </sheetData>
  <phoneticPr fontId="0" type="noConversion"/>
  <pageMargins left="0.5" right="0.5" top="0.5" bottom="0" header="0.5" footer="0.25"/>
  <pageSetup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L71"/>
  <sheetViews>
    <sheetView zoomScaleNormal="100" workbookViewId="0">
      <selection activeCell="O8" sqref="O8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  <col min="10" max="10" width="7" style="50" customWidth="1"/>
  </cols>
  <sheetData>
    <row r="1" spans="1:12" x14ac:dyDescent="0.2">
      <c r="A1" s="8" t="str">
        <f>'1'!$A$1</f>
        <v>Texas Windstorm Insurance Association</v>
      </c>
      <c r="B1" s="12"/>
      <c r="I1" s="7" t="s">
        <v>107</v>
      </c>
      <c r="J1" s="341"/>
      <c r="K1" s="338"/>
    </row>
    <row r="2" spans="1:12" x14ac:dyDescent="0.2">
      <c r="A2" s="8" t="str">
        <f>'1'!$A$2</f>
        <v>Residential Property - Wind &amp; Hail</v>
      </c>
      <c r="B2" s="12"/>
      <c r="I2" s="7" t="s">
        <v>89</v>
      </c>
      <c r="J2" s="341"/>
      <c r="K2" s="339"/>
    </row>
    <row r="3" spans="1:12" x14ac:dyDescent="0.2">
      <c r="A3" s="8" t="str">
        <f>'1'!$A$3</f>
        <v>Rate Level Review</v>
      </c>
      <c r="B3" s="12"/>
      <c r="K3" s="339"/>
    </row>
    <row r="4" spans="1:12" x14ac:dyDescent="0.2">
      <c r="A4" t="s">
        <v>108</v>
      </c>
      <c r="B4" s="12"/>
      <c r="K4" s="339"/>
    </row>
    <row r="5" spans="1:12" x14ac:dyDescent="0.2">
      <c r="B5" s="12"/>
      <c r="K5" s="339"/>
    </row>
    <row r="6" spans="1:12" x14ac:dyDescent="0.2">
      <c r="K6" s="339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6"/>
      <c r="K7" s="339"/>
    </row>
    <row r="8" spans="1:12" ht="12" thickTop="1" x14ac:dyDescent="0.2">
      <c r="K8" s="339"/>
    </row>
    <row r="9" spans="1:12" x14ac:dyDescent="0.2">
      <c r="C9" s="24" t="s">
        <v>137</v>
      </c>
      <c r="K9" s="339"/>
      <c r="L9" s="27"/>
    </row>
    <row r="10" spans="1:12" x14ac:dyDescent="0.2">
      <c r="A10" t="s">
        <v>54</v>
      </c>
      <c r="G10" t="s">
        <v>136</v>
      </c>
      <c r="H10" s="62" t="s">
        <v>361</v>
      </c>
      <c r="I10" s="62"/>
      <c r="J10" s="45"/>
      <c r="K10" s="339"/>
      <c r="L10" s="22"/>
    </row>
    <row r="11" spans="1:12" x14ac:dyDescent="0.2">
      <c r="A11" s="9" t="s">
        <v>55</v>
      </c>
      <c r="B11" s="9"/>
      <c r="C11" s="9" t="s">
        <v>133</v>
      </c>
      <c r="D11" s="9" t="s">
        <v>134</v>
      </c>
      <c r="E11" s="9" t="s">
        <v>135</v>
      </c>
      <c r="F11" s="9" t="s">
        <v>25</v>
      </c>
      <c r="G11" s="9" t="s">
        <v>79</v>
      </c>
      <c r="H11" s="190" t="s">
        <v>359</v>
      </c>
      <c r="I11" s="190"/>
      <c r="J11" s="45"/>
      <c r="K11" s="339"/>
      <c r="L11" s="5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327" t="s">
        <v>126</v>
      </c>
      <c r="I12" s="62"/>
      <c r="J12" s="45"/>
      <c r="K12" s="339"/>
    </row>
    <row r="13" spans="1:12" x14ac:dyDescent="0.2">
      <c r="H13" s="62"/>
      <c r="I13" s="62"/>
      <c r="J13" s="45"/>
      <c r="K13" s="339"/>
    </row>
    <row r="14" spans="1:12" x14ac:dyDescent="0.2">
      <c r="A14" s="194">
        <v>1983</v>
      </c>
      <c r="C14" s="63">
        <f>'6.4'!G14</f>
        <v>10.522</v>
      </c>
      <c r="D14" s="63">
        <f>'6.5'!G14</f>
        <v>6.1777758646370674E-2</v>
      </c>
      <c r="E14" s="63">
        <f>'6.6'!G14</f>
        <v>1.4245481570377552</v>
      </c>
      <c r="F14" s="63">
        <f>'6.7'!G14</f>
        <v>1.4522897538113388</v>
      </c>
      <c r="G14" s="23">
        <f t="shared" ref="G14:G47" si="0">ROUND(SUMPRODUCT(C14:F14,$C$58:$F$58)/$G$58,3)</f>
        <v>4.2060000000000004</v>
      </c>
      <c r="H14" s="29">
        <f t="shared" ref="H14:H39" si="1">G14</f>
        <v>4.2060000000000004</v>
      </c>
      <c r="I14" s="62"/>
      <c r="J14" s="45"/>
      <c r="K14" s="339"/>
      <c r="L14">
        <f t="shared" ref="L14:L48" si="2">2018-A14</f>
        <v>35</v>
      </c>
    </row>
    <row r="15" spans="1:12" x14ac:dyDescent="0.2">
      <c r="A15" t="str">
        <f>TEXT(A14+1,"#")</f>
        <v>1984</v>
      </c>
      <c r="C15" s="63">
        <f>'6.4'!G15</f>
        <v>3.2000000000000001E-2</v>
      </c>
      <c r="D15" s="63">
        <f>'6.5'!G15</f>
        <v>5.8309738287957755E-2</v>
      </c>
      <c r="E15" s="63">
        <f>'6.6'!G15</f>
        <v>0.20787675494624569</v>
      </c>
      <c r="F15" s="63">
        <f>'6.7'!G15</f>
        <v>0.33097832325716242</v>
      </c>
      <c r="G15" s="23">
        <f t="shared" si="0"/>
        <v>0.124</v>
      </c>
      <c r="H15" s="29">
        <f t="shared" si="1"/>
        <v>0.124</v>
      </c>
      <c r="I15" s="62"/>
      <c r="J15" s="45"/>
      <c r="K15" s="339"/>
      <c r="L15">
        <f t="shared" si="2"/>
        <v>34</v>
      </c>
    </row>
    <row r="16" spans="1:12" x14ac:dyDescent="0.2">
      <c r="A16" t="str">
        <f t="shared" ref="A16:A46" si="3">TEXT(A15+1,"#")</f>
        <v>1985</v>
      </c>
      <c r="C16" s="63">
        <f>'6.4'!G16</f>
        <v>1.7000000000000001E-2</v>
      </c>
      <c r="D16" s="63">
        <f>'6.5'!G16</f>
        <v>7.1330890601135274E-2</v>
      </c>
      <c r="E16" s="63">
        <f>'6.6'!G16</f>
        <v>6.9404431431158778E-2</v>
      </c>
      <c r="F16" s="63">
        <f>'6.7'!G16</f>
        <v>0.1105873310511125</v>
      </c>
      <c r="G16" s="23">
        <f t="shared" si="0"/>
        <v>5.2999999999999999E-2</v>
      </c>
      <c r="H16" s="29">
        <f t="shared" si="1"/>
        <v>5.2999999999999999E-2</v>
      </c>
      <c r="I16" s="62"/>
      <c r="J16" s="45"/>
      <c r="K16" s="339"/>
      <c r="L16">
        <f t="shared" si="2"/>
        <v>33</v>
      </c>
    </row>
    <row r="17" spans="1:12" x14ac:dyDescent="0.2">
      <c r="A17" t="str">
        <f t="shared" si="3"/>
        <v>1986</v>
      </c>
      <c r="C17" s="63">
        <f>'6.4'!G17</f>
        <v>0.01</v>
      </c>
      <c r="D17" s="63">
        <f>'6.5'!G17</f>
        <v>2.4E-2</v>
      </c>
      <c r="E17" s="63">
        <f>'6.6'!G17</f>
        <v>0.182</v>
      </c>
      <c r="F17" s="63">
        <f>'6.7'!G17</f>
        <v>0.121</v>
      </c>
      <c r="G17" s="23">
        <f t="shared" si="0"/>
        <v>9.5000000000000001E-2</v>
      </c>
      <c r="H17" s="29">
        <f t="shared" si="1"/>
        <v>9.5000000000000001E-2</v>
      </c>
      <c r="I17" s="62"/>
      <c r="J17" s="45"/>
      <c r="K17" s="339"/>
      <c r="L17">
        <f t="shared" si="2"/>
        <v>32</v>
      </c>
    </row>
    <row r="18" spans="1:12" x14ac:dyDescent="0.2">
      <c r="A18" t="str">
        <f t="shared" si="3"/>
        <v>1987</v>
      </c>
      <c r="C18" s="63">
        <f>'6.4'!G18</f>
        <v>5.0000000000000001E-3</v>
      </c>
      <c r="D18" s="63">
        <f>'6.5'!G18</f>
        <v>3.5000000000000003E-2</v>
      </c>
      <c r="E18" s="63">
        <f>'6.6'!G18</f>
        <v>3.2000000000000001E-2</v>
      </c>
      <c r="F18" s="63">
        <f>'6.7'!G18</f>
        <v>6.3E-2</v>
      </c>
      <c r="G18" s="23">
        <f t="shared" si="0"/>
        <v>2.4E-2</v>
      </c>
      <c r="H18" s="29">
        <f t="shared" si="1"/>
        <v>2.4E-2</v>
      </c>
      <c r="I18" s="62"/>
      <c r="J18" s="45"/>
      <c r="K18" s="339"/>
      <c r="L18">
        <f t="shared" si="2"/>
        <v>31</v>
      </c>
    </row>
    <row r="19" spans="1:12" x14ac:dyDescent="0.2">
      <c r="A19" t="str">
        <f t="shared" si="3"/>
        <v>1988</v>
      </c>
      <c r="C19" s="63">
        <f>'6.4'!G19</f>
        <v>4.9000000000000002E-2</v>
      </c>
      <c r="D19" s="63">
        <f>'6.5'!G19</f>
        <v>0.06</v>
      </c>
      <c r="E19" s="63">
        <f>'6.6'!G19</f>
        <v>0.158</v>
      </c>
      <c r="F19" s="63">
        <f>'6.7'!G19</f>
        <v>6.4000000000000001E-2</v>
      </c>
      <c r="G19" s="23">
        <f t="shared" si="0"/>
        <v>0.10299999999999999</v>
      </c>
      <c r="H19" s="29">
        <f t="shared" si="1"/>
        <v>0.10299999999999999</v>
      </c>
      <c r="I19" s="62"/>
      <c r="J19" s="45"/>
      <c r="K19" s="339"/>
      <c r="L19">
        <f t="shared" si="2"/>
        <v>30</v>
      </c>
    </row>
    <row r="20" spans="1:12" x14ac:dyDescent="0.2">
      <c r="A20" t="str">
        <f t="shared" si="3"/>
        <v>1989</v>
      </c>
      <c r="C20" s="63">
        <f>'6.4'!G20</f>
        <v>5.5E-2</v>
      </c>
      <c r="D20" s="63">
        <f>'6.5'!G20</f>
        <v>5.7000000000000002E-2</v>
      </c>
      <c r="E20" s="63">
        <f>'6.6'!G20</f>
        <v>8.3000000000000004E-2</v>
      </c>
      <c r="F20" s="63">
        <f>'6.7'!G20</f>
        <v>0.153</v>
      </c>
      <c r="G20" s="23">
        <f t="shared" si="0"/>
        <v>7.0000000000000007E-2</v>
      </c>
      <c r="H20" s="29">
        <f t="shared" si="1"/>
        <v>7.0000000000000007E-2</v>
      </c>
      <c r="I20" s="62"/>
      <c r="J20" s="45"/>
      <c r="K20" s="339"/>
      <c r="L20">
        <f t="shared" si="2"/>
        <v>29</v>
      </c>
    </row>
    <row r="21" spans="1:12" x14ac:dyDescent="0.2">
      <c r="A21" t="str">
        <f t="shared" si="3"/>
        <v>1990</v>
      </c>
      <c r="C21" s="63">
        <f>'6.4'!G21</f>
        <v>0.28899999999999998</v>
      </c>
      <c r="D21" s="63">
        <f>'6.5'!G21</f>
        <v>0.104</v>
      </c>
      <c r="E21" s="63">
        <f>'6.6'!G21</f>
        <v>0.106</v>
      </c>
      <c r="F21" s="63">
        <f>'6.7'!G21</f>
        <v>0.21299999999999999</v>
      </c>
      <c r="G21" s="23">
        <f t="shared" si="0"/>
        <v>0.16800000000000001</v>
      </c>
      <c r="H21" s="29">
        <f t="shared" si="1"/>
        <v>0.16800000000000001</v>
      </c>
      <c r="I21" s="62"/>
      <c r="J21" s="45"/>
      <c r="K21" s="339"/>
      <c r="L21">
        <f t="shared" si="2"/>
        <v>28</v>
      </c>
    </row>
    <row r="22" spans="1:12" x14ac:dyDescent="0.2">
      <c r="A22" t="str">
        <f t="shared" si="3"/>
        <v>1991</v>
      </c>
      <c r="C22" s="63">
        <f>'6.4'!G22</f>
        <v>0.58499999999999996</v>
      </c>
      <c r="D22" s="63">
        <f>'6.5'!G22</f>
        <v>0.129</v>
      </c>
      <c r="E22" s="63">
        <f>'6.6'!G22</f>
        <v>1.0349999999999999</v>
      </c>
      <c r="F22" s="63">
        <f>'6.7'!G22</f>
        <v>0.154</v>
      </c>
      <c r="G22" s="23">
        <f t="shared" si="0"/>
        <v>0.70899999999999996</v>
      </c>
      <c r="H22" s="29">
        <f t="shared" si="1"/>
        <v>0.70899999999999996</v>
      </c>
      <c r="I22" s="62"/>
      <c r="J22" s="45"/>
      <c r="K22" s="339"/>
      <c r="L22">
        <f t="shared" si="2"/>
        <v>27</v>
      </c>
    </row>
    <row r="23" spans="1:12" x14ac:dyDescent="0.2">
      <c r="A23" t="str">
        <f t="shared" si="3"/>
        <v>1992</v>
      </c>
      <c r="B23" s="22"/>
      <c r="C23" s="63">
        <f>'6.4'!G23</f>
        <v>1.2E-2</v>
      </c>
      <c r="D23" s="63">
        <f>'6.5'!G23</f>
        <v>0.11</v>
      </c>
      <c r="E23" s="63">
        <f>'6.6'!G23</f>
        <v>7.6999999999999999E-2</v>
      </c>
      <c r="F23" s="63">
        <f>'6.7'!G23</f>
        <v>0.17499999999999999</v>
      </c>
      <c r="G23" s="23">
        <f t="shared" si="0"/>
        <v>6.3E-2</v>
      </c>
      <c r="H23" s="29">
        <f t="shared" si="1"/>
        <v>6.3E-2</v>
      </c>
      <c r="I23" s="62"/>
      <c r="J23" s="45"/>
      <c r="K23" s="339"/>
      <c r="L23">
        <f t="shared" si="2"/>
        <v>26</v>
      </c>
    </row>
    <row r="24" spans="1:12" x14ac:dyDescent="0.2">
      <c r="A24" t="str">
        <f t="shared" si="3"/>
        <v>1993</v>
      </c>
      <c r="B24" s="22"/>
      <c r="C24" s="63">
        <f>'6.4'!G24</f>
        <v>0.125</v>
      </c>
      <c r="D24" s="63">
        <f>'6.5'!G24</f>
        <v>0.128</v>
      </c>
      <c r="E24" s="63">
        <f>'6.6'!G24</f>
        <v>0.08</v>
      </c>
      <c r="F24" s="63">
        <f>'6.7'!G24</f>
        <v>0.214</v>
      </c>
      <c r="G24" s="23">
        <f t="shared" si="0"/>
        <v>0.105</v>
      </c>
      <c r="H24" s="29">
        <f t="shared" si="1"/>
        <v>0.105</v>
      </c>
      <c r="I24" s="62"/>
      <c r="J24" s="45"/>
      <c r="K24" s="339"/>
      <c r="L24">
        <f t="shared" si="2"/>
        <v>25</v>
      </c>
    </row>
    <row r="25" spans="1:12" x14ac:dyDescent="0.2">
      <c r="A25" t="str">
        <f t="shared" si="3"/>
        <v>1994</v>
      </c>
      <c r="B25" s="22"/>
      <c r="C25" s="63">
        <f>'6.4'!G25</f>
        <v>2.3E-2</v>
      </c>
      <c r="D25" s="63">
        <f>'6.5'!G25</f>
        <v>7.1999999999999995E-2</v>
      </c>
      <c r="E25" s="63">
        <f>'6.6'!G25</f>
        <v>6.4000000000000001E-2</v>
      </c>
      <c r="F25" s="63">
        <f>'6.7'!G25</f>
        <v>7.5999999999999998E-2</v>
      </c>
      <c r="G25" s="23">
        <f t="shared" si="0"/>
        <v>5.1999999999999998E-2</v>
      </c>
      <c r="H25" s="29">
        <f t="shared" si="1"/>
        <v>5.1999999999999998E-2</v>
      </c>
      <c r="I25" s="62"/>
      <c r="J25" s="45"/>
      <c r="K25" s="339"/>
      <c r="L25">
        <f t="shared" si="2"/>
        <v>24</v>
      </c>
    </row>
    <row r="26" spans="1:12" x14ac:dyDescent="0.2">
      <c r="A26" t="str">
        <f t="shared" si="3"/>
        <v>1995</v>
      </c>
      <c r="C26" s="63">
        <f>'6.4'!G26</f>
        <v>2.8000000000000001E-2</v>
      </c>
      <c r="D26" s="63">
        <f>'6.5'!G26</f>
        <v>0.104</v>
      </c>
      <c r="E26" s="63">
        <f>'6.6'!G26</f>
        <v>8.5999999999999993E-2</v>
      </c>
      <c r="F26" s="63">
        <f>'6.7'!G26</f>
        <v>0.22500000000000001</v>
      </c>
      <c r="G26" s="23">
        <f t="shared" si="0"/>
        <v>7.1999999999999995E-2</v>
      </c>
      <c r="H26" s="29">
        <f t="shared" si="1"/>
        <v>7.1999999999999995E-2</v>
      </c>
      <c r="I26" s="62"/>
      <c r="J26" s="45"/>
      <c r="K26" s="339"/>
      <c r="L26">
        <f t="shared" si="2"/>
        <v>23</v>
      </c>
    </row>
    <row r="27" spans="1:12" x14ac:dyDescent="0.2">
      <c r="A27" t="str">
        <f t="shared" si="3"/>
        <v>1996</v>
      </c>
      <c r="C27" s="63">
        <f>'6.4'!G27</f>
        <v>1.2999999999999999E-2</v>
      </c>
      <c r="D27" s="63">
        <f>'6.5'!G27</f>
        <v>5.8999999999999997E-2</v>
      </c>
      <c r="E27" s="63">
        <f>'6.6'!G27</f>
        <v>4.3999999999999997E-2</v>
      </c>
      <c r="F27" s="63">
        <f>'6.7'!G27</f>
        <v>0.09</v>
      </c>
      <c r="G27" s="23">
        <f t="shared" si="0"/>
        <v>3.6999999999999998E-2</v>
      </c>
      <c r="H27" s="29">
        <f t="shared" si="1"/>
        <v>3.6999999999999998E-2</v>
      </c>
      <c r="I27" s="62"/>
      <c r="J27" s="45"/>
      <c r="K27" s="339"/>
      <c r="L27">
        <f t="shared" si="2"/>
        <v>22</v>
      </c>
    </row>
    <row r="28" spans="1:12" x14ac:dyDescent="0.2">
      <c r="A28" t="str">
        <f t="shared" si="3"/>
        <v>1997</v>
      </c>
      <c r="C28" s="63">
        <f>'6.4'!G28</f>
        <v>1.7000000000000001E-2</v>
      </c>
      <c r="D28" s="63">
        <f>'6.5'!G28</f>
        <v>3.9E-2</v>
      </c>
      <c r="E28" s="63">
        <f>'6.6'!G28</f>
        <v>6.3E-2</v>
      </c>
      <c r="F28" s="63">
        <f>'6.7'!G28</f>
        <v>7.6999999999999999E-2</v>
      </c>
      <c r="G28" s="23">
        <f t="shared" si="0"/>
        <v>4.2999999999999997E-2</v>
      </c>
      <c r="H28" s="29">
        <f t="shared" si="1"/>
        <v>4.2999999999999997E-2</v>
      </c>
      <c r="I28" s="62"/>
      <c r="J28" s="45"/>
      <c r="K28" s="339"/>
      <c r="L28">
        <f t="shared" si="2"/>
        <v>21</v>
      </c>
    </row>
    <row r="29" spans="1:12" x14ac:dyDescent="0.2">
      <c r="A29" t="str">
        <f t="shared" si="3"/>
        <v>1998</v>
      </c>
      <c r="C29" s="63">
        <f>'6.4'!G29</f>
        <v>0.17599999999999999</v>
      </c>
      <c r="D29" s="63">
        <f>'6.5'!G29</f>
        <v>0.104</v>
      </c>
      <c r="E29" s="63">
        <f>'6.6'!G29</f>
        <v>0.24399999999999999</v>
      </c>
      <c r="F29" s="63">
        <f>'6.7'!G29</f>
        <v>9.2999999999999999E-2</v>
      </c>
      <c r="G29" s="23">
        <f t="shared" si="0"/>
        <v>0.19400000000000001</v>
      </c>
      <c r="H29" s="29">
        <f t="shared" si="1"/>
        <v>0.19400000000000001</v>
      </c>
      <c r="I29" s="62"/>
      <c r="J29" s="45"/>
      <c r="K29" s="339"/>
      <c r="L29">
        <f t="shared" si="2"/>
        <v>20</v>
      </c>
    </row>
    <row r="30" spans="1:12" x14ac:dyDescent="0.2">
      <c r="A30" t="str">
        <f t="shared" si="3"/>
        <v>1999</v>
      </c>
      <c r="C30" s="63">
        <f>'6.4'!G30</f>
        <v>0.02</v>
      </c>
      <c r="D30" s="63">
        <f>'6.5'!G30</f>
        <v>0.16600000000000001</v>
      </c>
      <c r="E30" s="63">
        <f>'6.6'!G30</f>
        <v>9.8000000000000004E-2</v>
      </c>
      <c r="F30" s="63">
        <f>'6.7'!G30</f>
        <v>9.8000000000000004E-2</v>
      </c>
      <c r="G30" s="23">
        <f t="shared" si="0"/>
        <v>8.4000000000000005E-2</v>
      </c>
      <c r="H30" s="29">
        <f t="shared" si="1"/>
        <v>8.4000000000000005E-2</v>
      </c>
      <c r="I30" s="62"/>
      <c r="J30" s="45"/>
      <c r="K30" s="339"/>
      <c r="L30">
        <f t="shared" si="2"/>
        <v>19</v>
      </c>
    </row>
    <row r="31" spans="1:12" x14ac:dyDescent="0.2">
      <c r="A31" t="str">
        <f t="shared" si="3"/>
        <v>2000</v>
      </c>
      <c r="C31" s="63">
        <f>'6.4'!G31</f>
        <v>8.9999999999999993E-3</v>
      </c>
      <c r="D31" s="63">
        <f>'6.5'!G31</f>
        <v>2.4E-2</v>
      </c>
      <c r="E31" s="63">
        <f>'6.6'!G31</f>
        <v>9.7000000000000003E-2</v>
      </c>
      <c r="F31" s="63">
        <f>'6.7'!G31</f>
        <v>0.109</v>
      </c>
      <c r="G31" s="23">
        <f t="shared" si="0"/>
        <v>5.5E-2</v>
      </c>
      <c r="H31" s="29">
        <f t="shared" si="1"/>
        <v>5.5E-2</v>
      </c>
      <c r="I31" s="62"/>
      <c r="J31" s="45"/>
      <c r="K31" s="339"/>
      <c r="L31">
        <f t="shared" si="2"/>
        <v>18</v>
      </c>
    </row>
    <row r="32" spans="1:12" x14ac:dyDescent="0.2">
      <c r="A32" t="str">
        <f t="shared" si="3"/>
        <v>2001</v>
      </c>
      <c r="C32" s="63">
        <f>'6.4'!G32</f>
        <v>5.3999999999999999E-2</v>
      </c>
      <c r="D32" s="63">
        <f>'6.5'!G32</f>
        <v>8.2000000000000003E-2</v>
      </c>
      <c r="E32" s="63">
        <f>'6.6'!G32</f>
        <v>7.9000000000000001E-2</v>
      </c>
      <c r="F32" s="63">
        <f>'6.7'!G32</f>
        <v>0.35599999999999998</v>
      </c>
      <c r="G32" s="23">
        <f t="shared" si="0"/>
        <v>7.4999999999999997E-2</v>
      </c>
      <c r="H32" s="29">
        <f t="shared" si="1"/>
        <v>7.4999999999999997E-2</v>
      </c>
      <c r="I32" s="62"/>
      <c r="J32" s="45"/>
      <c r="K32" s="339"/>
      <c r="L32">
        <f t="shared" si="2"/>
        <v>17</v>
      </c>
    </row>
    <row r="33" spans="1:12" x14ac:dyDescent="0.2">
      <c r="A33" t="str">
        <f t="shared" si="3"/>
        <v>2002</v>
      </c>
      <c r="C33" s="63">
        <f>'6.4'!G33</f>
        <v>0.24399999999999999</v>
      </c>
      <c r="D33" s="63">
        <f>'6.5'!G33</f>
        <v>6.9000000000000006E-2</v>
      </c>
      <c r="E33" s="63">
        <f>'6.6'!G33</f>
        <v>0.16500000000000001</v>
      </c>
      <c r="F33" s="63">
        <f>'6.7'!G33</f>
        <v>0.106</v>
      </c>
      <c r="G33" s="23">
        <f t="shared" si="0"/>
        <v>0.17299999999999999</v>
      </c>
      <c r="H33" s="29">
        <f t="shared" si="1"/>
        <v>0.17299999999999999</v>
      </c>
      <c r="I33" s="62"/>
      <c r="J33" s="45"/>
      <c r="K33" s="339"/>
      <c r="L33">
        <f t="shared" si="2"/>
        <v>16</v>
      </c>
    </row>
    <row r="34" spans="1:12" x14ac:dyDescent="0.2">
      <c r="A34" t="str">
        <f t="shared" si="3"/>
        <v>2003</v>
      </c>
      <c r="C34" s="63">
        <f>'6.4'!G34</f>
        <v>5.0999999999999997E-2</v>
      </c>
      <c r="D34" s="63">
        <f>'6.5'!G34</f>
        <v>0.108</v>
      </c>
      <c r="E34" s="63">
        <f>'6.6'!G34</f>
        <v>0.36499999999999999</v>
      </c>
      <c r="F34" s="63">
        <f>'6.7'!G34</f>
        <v>0.10299999999999999</v>
      </c>
      <c r="G34" s="23">
        <f t="shared" si="0"/>
        <v>0.21</v>
      </c>
      <c r="H34" s="29">
        <f t="shared" si="1"/>
        <v>0.21</v>
      </c>
      <c r="I34" s="62"/>
      <c r="J34" s="45"/>
      <c r="K34" s="339"/>
      <c r="L34">
        <f t="shared" si="2"/>
        <v>15</v>
      </c>
    </row>
    <row r="35" spans="1:12" x14ac:dyDescent="0.2">
      <c r="A35" t="str">
        <f t="shared" si="3"/>
        <v>2004</v>
      </c>
      <c r="B35" s="25"/>
      <c r="C35" s="63">
        <f>'6.4'!G35</f>
        <v>1.2999999999999999E-2</v>
      </c>
      <c r="D35" s="63">
        <f>'6.5'!G35</f>
        <v>2.1000000000000001E-2</v>
      </c>
      <c r="E35" s="63">
        <f>'6.6'!G35</f>
        <v>1.9E-2</v>
      </c>
      <c r="F35" s="63">
        <f>'6.7'!G35</f>
        <v>3.9E-2</v>
      </c>
      <c r="G35" s="23">
        <f t="shared" si="0"/>
        <v>1.7999999999999999E-2</v>
      </c>
      <c r="H35" s="29">
        <f t="shared" si="1"/>
        <v>1.7999999999999999E-2</v>
      </c>
      <c r="I35" s="62"/>
      <c r="J35" s="45"/>
      <c r="K35" s="339"/>
      <c r="L35">
        <f t="shared" si="2"/>
        <v>14</v>
      </c>
    </row>
    <row r="36" spans="1:12" x14ac:dyDescent="0.2">
      <c r="A36" t="str">
        <f t="shared" si="3"/>
        <v>2005</v>
      </c>
      <c r="C36" s="63">
        <f>'6.4'!G36</f>
        <v>0.51100000000000001</v>
      </c>
      <c r="D36" s="63">
        <f>'6.5'!G36</f>
        <v>3.1E-2</v>
      </c>
      <c r="E36" s="63">
        <f>'6.6'!G36</f>
        <v>2.036</v>
      </c>
      <c r="F36" s="63">
        <f>'6.7'!G36</f>
        <v>0.372</v>
      </c>
      <c r="G36" s="23">
        <f t="shared" si="0"/>
        <v>1.1419999999999999</v>
      </c>
      <c r="H36" s="29">
        <f t="shared" si="1"/>
        <v>1.1419999999999999</v>
      </c>
      <c r="I36" s="62"/>
      <c r="J36" s="45"/>
      <c r="K36" s="339"/>
      <c r="L36">
        <f t="shared" si="2"/>
        <v>13</v>
      </c>
    </row>
    <row r="37" spans="1:12" x14ac:dyDescent="0.2">
      <c r="A37" t="str">
        <f t="shared" si="3"/>
        <v>2006</v>
      </c>
      <c r="B37" s="25"/>
      <c r="C37" s="63">
        <f>'6.4'!G37</f>
        <v>0.01</v>
      </c>
      <c r="D37" s="63">
        <f>'6.5'!G37</f>
        <v>1.9E-2</v>
      </c>
      <c r="E37" s="63">
        <f>'6.6'!G37</f>
        <v>2.8000000000000001E-2</v>
      </c>
      <c r="F37" s="63">
        <f>'6.7'!G37</f>
        <v>4.9000000000000002E-2</v>
      </c>
      <c r="G37" s="23">
        <f t="shared" si="0"/>
        <v>2.1000000000000001E-2</v>
      </c>
      <c r="H37" s="29">
        <f t="shared" si="1"/>
        <v>2.1000000000000001E-2</v>
      </c>
      <c r="I37" s="62"/>
      <c r="J37" s="45"/>
      <c r="K37" s="339"/>
      <c r="L37">
        <f t="shared" si="2"/>
        <v>12</v>
      </c>
    </row>
    <row r="38" spans="1:12" x14ac:dyDescent="0.2">
      <c r="A38" s="50" t="str">
        <f t="shared" si="3"/>
        <v>2007</v>
      </c>
      <c r="B38" s="51"/>
      <c r="C38" s="65">
        <f>'6.4'!G38</f>
        <v>2.7E-2</v>
      </c>
      <c r="D38" s="65">
        <f>'6.5'!G38</f>
        <v>2.4E-2</v>
      </c>
      <c r="E38" s="65">
        <f>'6.6'!G38</f>
        <v>8.3000000000000004E-2</v>
      </c>
      <c r="F38" s="63">
        <f>'6.7'!G38</f>
        <v>4.9000000000000002E-2</v>
      </c>
      <c r="G38" s="53">
        <f t="shared" si="0"/>
        <v>5.2999999999999999E-2</v>
      </c>
      <c r="H38" s="29">
        <f t="shared" si="1"/>
        <v>5.2999999999999999E-2</v>
      </c>
      <c r="I38" s="62"/>
      <c r="J38" s="45"/>
      <c r="K38" s="339"/>
      <c r="L38">
        <f t="shared" si="2"/>
        <v>11</v>
      </c>
    </row>
    <row r="39" spans="1:12" x14ac:dyDescent="0.2">
      <c r="A39" s="50" t="str">
        <f t="shared" si="3"/>
        <v>2008</v>
      </c>
      <c r="B39" s="25"/>
      <c r="C39" s="65">
        <f>'6.4'!G39</f>
        <v>6.9459999999999997</v>
      </c>
      <c r="D39" s="65">
        <f>'6.5'!G39</f>
        <v>0.03</v>
      </c>
      <c r="E39" s="65">
        <f>'6.6'!G39</f>
        <v>3.8220000000000001</v>
      </c>
      <c r="F39" s="63">
        <f>'6.7'!G39</f>
        <v>4.1840000000000002</v>
      </c>
      <c r="G39" s="53">
        <f t="shared" si="0"/>
        <v>4.1769999999999996</v>
      </c>
      <c r="H39" s="29">
        <f t="shared" si="1"/>
        <v>4.1769999999999996</v>
      </c>
      <c r="I39" s="62"/>
      <c r="J39" s="45"/>
      <c r="K39" s="339"/>
      <c r="L39">
        <f t="shared" si="2"/>
        <v>10</v>
      </c>
    </row>
    <row r="40" spans="1:12" x14ac:dyDescent="0.2">
      <c r="A40" s="50" t="str">
        <f t="shared" si="3"/>
        <v>2009</v>
      </c>
      <c r="B40" s="25"/>
      <c r="C40" s="63">
        <f>'6.4'!G40</f>
        <v>2.9000000000000001E-2</v>
      </c>
      <c r="D40" s="63">
        <f>'6.5'!G40</f>
        <v>0.01</v>
      </c>
      <c r="E40" s="63">
        <f>'6.6'!G40</f>
        <v>1.2999999999999999E-2</v>
      </c>
      <c r="F40" s="63">
        <f>'6.7'!G40</f>
        <v>9.4E-2</v>
      </c>
      <c r="G40" s="23">
        <f t="shared" si="0"/>
        <v>1.9E-2</v>
      </c>
      <c r="H40" s="29">
        <f>G40</f>
        <v>1.9E-2</v>
      </c>
      <c r="I40" s="62"/>
      <c r="J40" s="45"/>
      <c r="K40" s="339"/>
      <c r="L40">
        <f t="shared" si="2"/>
        <v>9</v>
      </c>
    </row>
    <row r="41" spans="1:12" x14ac:dyDescent="0.2">
      <c r="A41" s="50" t="str">
        <f t="shared" si="3"/>
        <v>2010</v>
      </c>
      <c r="B41" s="25"/>
      <c r="C41" s="63">
        <f>'6.4'!G41</f>
        <v>1.2E-2</v>
      </c>
      <c r="D41" s="63">
        <f>'6.5'!G41</f>
        <v>6.2E-2</v>
      </c>
      <c r="E41" s="63">
        <f>'6.6'!G41</f>
        <v>4.8000000000000001E-2</v>
      </c>
      <c r="F41" s="63">
        <f>'6.7'!G41</f>
        <v>0.109</v>
      </c>
      <c r="G41" s="23">
        <f t="shared" si="0"/>
        <v>3.9E-2</v>
      </c>
      <c r="H41" s="29">
        <f>G41*'ldf 3.1b'!K48</f>
        <v>3.9E-2</v>
      </c>
      <c r="I41" s="62"/>
      <c r="J41" s="45"/>
      <c r="K41" s="339"/>
      <c r="L41">
        <f t="shared" si="2"/>
        <v>8</v>
      </c>
    </row>
    <row r="42" spans="1:12" x14ac:dyDescent="0.2">
      <c r="A42" s="50" t="str">
        <f t="shared" si="3"/>
        <v>2011</v>
      </c>
      <c r="B42" s="51"/>
      <c r="C42" s="65">
        <f>'6.4'!G42</f>
        <v>0.01</v>
      </c>
      <c r="D42" s="65">
        <f>'6.5'!G42</f>
        <v>0.28100000000000003</v>
      </c>
      <c r="E42" s="65">
        <f>'6.6'!G42</f>
        <v>0.28399999999999997</v>
      </c>
      <c r="F42" s="65">
        <f>'6.7'!G42</f>
        <v>0.06</v>
      </c>
      <c r="G42" s="53">
        <f>ROUND(SUMPRODUCT(C42:F42,$C$58:$F$58)/$G$58,3)</f>
        <v>0.189</v>
      </c>
      <c r="H42" s="29">
        <f>G42*'ldf 3.1b'!J48</f>
        <v>0.189</v>
      </c>
      <c r="I42" s="62"/>
      <c r="J42" s="45"/>
      <c r="K42" s="339"/>
      <c r="L42">
        <f t="shared" si="2"/>
        <v>7</v>
      </c>
    </row>
    <row r="43" spans="1:12" x14ac:dyDescent="0.2">
      <c r="A43" s="50" t="str">
        <f t="shared" si="3"/>
        <v>2012</v>
      </c>
      <c r="B43" s="51"/>
      <c r="C43" s="65">
        <f>'6.4'!G43</f>
        <v>8.3000000000000004E-2</v>
      </c>
      <c r="D43" s="65">
        <f>'6.5'!G43</f>
        <v>0.308</v>
      </c>
      <c r="E43" s="65">
        <f>'6.6'!G43</f>
        <v>9.5000000000000001E-2</v>
      </c>
      <c r="F43" s="65">
        <f>'6.7'!G43</f>
        <v>0.85</v>
      </c>
      <c r="G43" s="53">
        <f t="shared" si="0"/>
        <v>0.14000000000000001</v>
      </c>
      <c r="H43" s="29">
        <f>G43*'ldf 3.1b'!I48</f>
        <v>0.14000000000000001</v>
      </c>
      <c r="I43" s="62"/>
      <c r="J43" s="45"/>
      <c r="K43" s="339"/>
      <c r="L43">
        <f t="shared" si="2"/>
        <v>6</v>
      </c>
    </row>
    <row r="44" spans="1:12" x14ac:dyDescent="0.2">
      <c r="A44" s="50" t="str">
        <f t="shared" si="3"/>
        <v>2013</v>
      </c>
      <c r="B44" s="51"/>
      <c r="C44" s="65">
        <f>'6.4'!G44</f>
        <v>0.40699999999999997</v>
      </c>
      <c r="D44" s="65">
        <f>'6.5'!G44</f>
        <v>9.7000000000000003E-2</v>
      </c>
      <c r="E44" s="65">
        <f>'6.6'!G44</f>
        <v>2.8000000000000001E-2</v>
      </c>
      <c r="F44" s="65">
        <f>'6.7'!G44</f>
        <v>0.19600000000000001</v>
      </c>
      <c r="G44" s="53">
        <f t="shared" si="0"/>
        <v>0.16900000000000001</v>
      </c>
      <c r="H44" s="29">
        <f>G44*'ldf 3.1b'!H48</f>
        <v>0.16900000000000001</v>
      </c>
      <c r="I44" s="62"/>
      <c r="J44" s="45"/>
      <c r="K44" s="339"/>
      <c r="L44">
        <f t="shared" si="2"/>
        <v>5</v>
      </c>
    </row>
    <row r="45" spans="1:12" x14ac:dyDescent="0.2">
      <c r="A45" s="50" t="str">
        <f t="shared" si="3"/>
        <v>2014</v>
      </c>
      <c r="B45" s="51"/>
      <c r="C45" s="230">
        <f>'6.4'!G45</f>
        <v>5.0000000000000001E-3</v>
      </c>
      <c r="D45" s="230">
        <f>'6.5'!G45</f>
        <v>2.7E-2</v>
      </c>
      <c r="E45" s="230">
        <f>'6.6'!G45</f>
        <v>3.1E-2</v>
      </c>
      <c r="F45" s="230">
        <f>'6.7'!G45</f>
        <v>0.17599999999999999</v>
      </c>
      <c r="G45" s="231">
        <f t="shared" si="0"/>
        <v>2.3E-2</v>
      </c>
      <c r="H45" s="29">
        <f>G45*'ldf 3.1b'!G48</f>
        <v>2.3E-2</v>
      </c>
      <c r="I45" s="62"/>
      <c r="J45" s="45"/>
      <c r="K45" s="339"/>
      <c r="L45">
        <f t="shared" si="2"/>
        <v>4</v>
      </c>
    </row>
    <row r="46" spans="1:12" x14ac:dyDescent="0.2">
      <c r="A46" s="50" t="str">
        <f t="shared" si="3"/>
        <v>2015</v>
      </c>
      <c r="B46" s="51"/>
      <c r="C46" s="230">
        <f>'6.4'!G46</f>
        <v>0.127</v>
      </c>
      <c r="D46" s="230">
        <f>'6.5'!G46</f>
        <v>0.13400000000000001</v>
      </c>
      <c r="E46" s="230">
        <f>'6.6'!G46</f>
        <v>0.375</v>
      </c>
      <c r="F46" s="230">
        <f>'6.7'!G46</f>
        <v>0.35199999999999998</v>
      </c>
      <c r="G46" s="231">
        <f t="shared" si="0"/>
        <v>0.248</v>
      </c>
      <c r="H46" s="29">
        <f>G46*'ldf 3.1b'!F48</f>
        <v>0.24849599999999999</v>
      </c>
      <c r="I46" s="62"/>
      <c r="J46" s="45"/>
      <c r="K46" s="339"/>
      <c r="L46">
        <f t="shared" si="2"/>
        <v>3</v>
      </c>
    </row>
    <row r="47" spans="1:12" x14ac:dyDescent="0.2">
      <c r="A47" s="51">
        <v>2016</v>
      </c>
      <c r="B47" s="51"/>
      <c r="C47" s="230">
        <f>'6.4'!G47</f>
        <v>8.3000000000000004E-2</v>
      </c>
      <c r="D47" s="230">
        <f>'6.5'!G47</f>
        <v>0.13400000000000001</v>
      </c>
      <c r="E47" s="230">
        <f>'6.6'!G47</f>
        <v>6.4000000000000001E-2</v>
      </c>
      <c r="F47" s="230">
        <f>'6.7'!G47</f>
        <v>0.35699999999999998</v>
      </c>
      <c r="G47" s="231">
        <f t="shared" si="0"/>
        <v>8.6999999999999994E-2</v>
      </c>
      <c r="H47" s="29">
        <f>G47*'ldf 3.1b'!E48</f>
        <v>8.795699999999998E-2</v>
      </c>
      <c r="I47" s="62"/>
      <c r="J47" s="45"/>
      <c r="K47" s="339"/>
      <c r="L47">
        <f t="shared" si="2"/>
        <v>2</v>
      </c>
    </row>
    <row r="48" spans="1:12" x14ac:dyDescent="0.2">
      <c r="A48" s="51">
        <v>2017</v>
      </c>
      <c r="B48" s="51"/>
      <c r="C48" s="230">
        <f>'6.4'!G48</f>
        <v>0.29399999999999998</v>
      </c>
      <c r="D48" s="230">
        <f>'6.5'!G48</f>
        <v>3.2360000000000002</v>
      </c>
      <c r="E48" s="230">
        <f>'6.6'!G48</f>
        <v>3.0310000000000001</v>
      </c>
      <c r="F48" s="230">
        <f>'6.7'!G48</f>
        <v>0.58399999999999996</v>
      </c>
      <c r="G48" s="231">
        <f>ROUND(SUMPRODUCT(C48:F48,$C$58:$F$58)/$G$58,3)</f>
        <v>2.125</v>
      </c>
      <c r="H48" s="29">
        <f>G48*'ldf 3.1b'!D48</f>
        <v>2.2418749999999998</v>
      </c>
      <c r="I48" s="62"/>
      <c r="J48" s="45"/>
      <c r="K48" s="339"/>
      <c r="L48">
        <f t="shared" si="2"/>
        <v>1</v>
      </c>
    </row>
    <row r="49" spans="1:12" x14ac:dyDescent="0.2">
      <c r="A49" s="26">
        <v>2018</v>
      </c>
      <c r="B49" s="9"/>
      <c r="C49" s="215">
        <f>'6.4'!G49</f>
        <v>2.1999999999999999E-2</v>
      </c>
      <c r="D49" s="215">
        <f>'6.5'!G49</f>
        <v>0.02</v>
      </c>
      <c r="E49" s="215">
        <f>'6.6'!G49</f>
        <v>4.1000000000000002E-2</v>
      </c>
      <c r="F49" s="215">
        <f>'6.7'!G49</f>
        <v>9.1999999999999998E-2</v>
      </c>
      <c r="G49" s="216">
        <f>ROUND(SUMPRODUCT(C49:F49,$C$58:$F$58)/$G$58,3)</f>
        <v>3.2000000000000001E-2</v>
      </c>
      <c r="H49" s="30">
        <f>G49*'ldf 3.1b'!C48</f>
        <v>3.8432000000000001E-2</v>
      </c>
      <c r="I49" s="190"/>
      <c r="J49" s="45"/>
      <c r="K49" s="339"/>
      <c r="L49" t="s">
        <v>220</v>
      </c>
    </row>
    <row r="50" spans="1:12" x14ac:dyDescent="0.2">
      <c r="H50" s="62"/>
      <c r="I50" s="62"/>
      <c r="J50" s="45"/>
      <c r="K50" s="339"/>
      <c r="L50" s="88">
        <f>'6.4'!K$53</f>
        <v>43373</v>
      </c>
    </row>
    <row r="51" spans="1:12" x14ac:dyDescent="0.2">
      <c r="A51" t="s">
        <v>72</v>
      </c>
      <c r="C51" s="23">
        <f t="shared" ref="C51:H51" si="4">ROUND(AVERAGE(C14:C49),3)</f>
        <v>0.58099999999999996</v>
      </c>
      <c r="D51" s="23">
        <f t="shared" si="4"/>
        <v>0.16900000000000001</v>
      </c>
      <c r="E51" s="23">
        <f t="shared" si="4"/>
        <v>0.41</v>
      </c>
      <c r="F51" s="23">
        <f t="shared" si="4"/>
        <v>0.33200000000000002</v>
      </c>
      <c r="G51" s="23">
        <f t="shared" si="4"/>
        <v>0.42199999999999999</v>
      </c>
      <c r="H51" s="23">
        <f t="shared" si="4"/>
        <v>0.42599999999999999</v>
      </c>
      <c r="I51" s="62"/>
      <c r="J51" s="45"/>
      <c r="K51" s="339"/>
    </row>
    <row r="52" spans="1:12" x14ac:dyDescent="0.2">
      <c r="A52" s="50"/>
      <c r="B52" s="50"/>
      <c r="C52" s="50"/>
      <c r="D52" s="50"/>
      <c r="E52" s="50"/>
      <c r="F52" s="50"/>
      <c r="G52" s="50"/>
      <c r="K52" s="339"/>
    </row>
    <row r="53" spans="1:12" x14ac:dyDescent="0.2">
      <c r="C53" s="24" t="str">
        <f>"TWIA "&amp;YEAR('2.1'!$L$9)&amp;" Written Premium by Territory / Tier"</f>
        <v>TWIA 2018 Written Premium by Territory / Tier</v>
      </c>
      <c r="K53" s="339"/>
    </row>
    <row r="54" spans="1:12" x14ac:dyDescent="0.2">
      <c r="K54" s="339"/>
    </row>
    <row r="55" spans="1:12" x14ac:dyDescent="0.2">
      <c r="A55" s="9"/>
      <c r="B55" s="9"/>
      <c r="C55" s="9" t="s">
        <v>133</v>
      </c>
      <c r="D55" s="9" t="s">
        <v>134</v>
      </c>
      <c r="E55" s="9" t="s">
        <v>135</v>
      </c>
      <c r="F55" s="9" t="s">
        <v>25</v>
      </c>
      <c r="G55" s="9" t="s">
        <v>9</v>
      </c>
      <c r="H55" s="9"/>
      <c r="I55" s="9"/>
      <c r="K55" s="339"/>
    </row>
    <row r="56" spans="1:12" x14ac:dyDescent="0.2">
      <c r="K56" s="339"/>
    </row>
    <row r="57" spans="1:12" x14ac:dyDescent="0.2">
      <c r="A57" s="58" t="s">
        <v>125</v>
      </c>
      <c r="B57" t="s">
        <v>28</v>
      </c>
      <c r="C57" s="31">
        <f>'2.1'!$C$14</f>
        <v>109856744</v>
      </c>
      <c r="D57" s="31">
        <f>'2.1'!$C$15</f>
        <v>59905533</v>
      </c>
      <c r="E57" s="31">
        <f>'2.1'!$C$16</f>
        <v>155594490</v>
      </c>
      <c r="F57" s="31">
        <f>'2.1'!$C$17</f>
        <v>4279815</v>
      </c>
      <c r="G57" s="19">
        <f>SUM(C57:F57)</f>
        <v>329636582</v>
      </c>
      <c r="K57" s="339"/>
    </row>
    <row r="58" spans="1:12" x14ac:dyDescent="0.2">
      <c r="A58" s="58" t="s">
        <v>124</v>
      </c>
      <c r="B58" t="s">
        <v>138</v>
      </c>
      <c r="C58" s="20">
        <f>ROUND(C57/$G57,3)</f>
        <v>0.33300000000000002</v>
      </c>
      <c r="D58" s="20">
        <f>ROUND(D57/$G57,3)</f>
        <v>0.182</v>
      </c>
      <c r="E58" s="20">
        <f>ROUND(E57/$G57,3)</f>
        <v>0.47199999999999998</v>
      </c>
      <c r="F58" s="20">
        <f>ROUND(F57/$G57,3)</f>
        <v>1.2999999999999999E-2</v>
      </c>
      <c r="G58" s="20">
        <f>SUM(C58:F58)</f>
        <v>1</v>
      </c>
      <c r="K58" s="339"/>
    </row>
    <row r="59" spans="1:12" ht="12" thickBot="1" x14ac:dyDescent="0.25">
      <c r="A59" s="6"/>
      <c r="B59" s="6"/>
      <c r="C59" s="6"/>
      <c r="D59" s="6"/>
      <c r="E59" s="6"/>
      <c r="F59" s="6"/>
      <c r="G59" s="6"/>
      <c r="H59" s="6"/>
      <c r="I59" s="6"/>
      <c r="K59" s="339"/>
    </row>
    <row r="60" spans="1:12" ht="12" thickTop="1" x14ac:dyDescent="0.2">
      <c r="K60" s="339"/>
    </row>
    <row r="61" spans="1:12" x14ac:dyDescent="0.2">
      <c r="A61" t="s">
        <v>18</v>
      </c>
      <c r="F61" s="45"/>
      <c r="K61" s="339"/>
    </row>
    <row r="62" spans="1:12" x14ac:dyDescent="0.2">
      <c r="B62" s="22" t="str">
        <f>C12&amp;" "&amp;'6.4'!$I$1&amp;", "&amp;'6.4'!$I$2</f>
        <v>(2) Exhibit 6, Sheet 4</v>
      </c>
      <c r="K62" s="339"/>
    </row>
    <row r="63" spans="1:12" x14ac:dyDescent="0.2">
      <c r="B63" s="22" t="str">
        <f>D12&amp;" "&amp;'6.5'!$I$1&amp;", "&amp;'6.5'!$I$2</f>
        <v>(3) Exhibit 6, Sheet 5</v>
      </c>
      <c r="K63" s="339"/>
    </row>
    <row r="64" spans="1:12" x14ac:dyDescent="0.2">
      <c r="B64" s="22" t="str">
        <f>E12&amp;" "&amp;'6.6'!$I$1&amp;", "&amp;'6.6'!$I$2</f>
        <v>(4) Exhibit 6, Sheet 6</v>
      </c>
      <c r="K64" s="339"/>
    </row>
    <row r="65" spans="1:11" x14ac:dyDescent="0.2">
      <c r="B65" s="22" t="str">
        <f>F12&amp;" "&amp;'6.7'!$I$1&amp;", "&amp;'6.7'!$I$2</f>
        <v>(5) Exhibit 6, Sheet 7</v>
      </c>
      <c r="K65" s="339"/>
    </row>
    <row r="66" spans="1:11" x14ac:dyDescent="0.2">
      <c r="B66" s="22" t="str">
        <f>G12&amp;" = Weighted average of "&amp;C12&amp;" to "&amp;F12&amp;", using "&amp;A58</f>
        <v>(6) = Weighted average of (2) to (5), using (9)</v>
      </c>
      <c r="K66" s="339"/>
    </row>
    <row r="67" spans="1:11" x14ac:dyDescent="0.2">
      <c r="B67" t="s">
        <v>364</v>
      </c>
      <c r="D67" s="63"/>
      <c r="E67" s="63"/>
      <c r="F67" s="63"/>
      <c r="G67" s="23"/>
      <c r="K67" s="339"/>
    </row>
    <row r="68" spans="1:11" x14ac:dyDescent="0.2">
      <c r="B68" s="25" t="str">
        <f>A57&amp;" Provided by TWIA"</f>
        <v>(8) Provided by TWIA</v>
      </c>
      <c r="K68" s="339"/>
    </row>
    <row r="69" spans="1:11" x14ac:dyDescent="0.2">
      <c r="B69" s="25" t="str">
        <f>A58&amp;" = "&amp;A57&amp;" / "&amp;A57&amp;" Total"</f>
        <v>(9) = (8) / (8) Total</v>
      </c>
      <c r="K69" s="339"/>
    </row>
    <row r="70" spans="1:11" ht="12" thickBot="1" x14ac:dyDescent="0.25">
      <c r="B70" s="25"/>
      <c r="K70" s="339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342"/>
      <c r="K71" s="340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/>
  <dimension ref="A1:P62"/>
  <sheetViews>
    <sheetView topLeftCell="A23" zoomScaleNormal="100" workbookViewId="0">
      <selection activeCell="D67" sqref="D67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6640625" bestFit="1" customWidth="1"/>
    <col min="14" max="14" width="12.6640625" bestFit="1" customWidth="1"/>
  </cols>
  <sheetData>
    <row r="1" spans="1:16" x14ac:dyDescent="0.2">
      <c r="A1" s="8" t="str">
        <f>'1'!$A$1</f>
        <v>Texas Windstorm Insurance Association</v>
      </c>
      <c r="B1" s="12"/>
      <c r="I1" s="7" t="s">
        <v>107</v>
      </c>
      <c r="J1" s="1"/>
    </row>
    <row r="2" spans="1:16" x14ac:dyDescent="0.2">
      <c r="A2" s="8" t="str">
        <f>'1'!$A$2</f>
        <v>Residential Property - Wind &amp; Hail</v>
      </c>
      <c r="B2" s="12"/>
      <c r="I2" s="7" t="s">
        <v>92</v>
      </c>
      <c r="J2" s="2"/>
    </row>
    <row r="3" spans="1:16" x14ac:dyDescent="0.2">
      <c r="A3" s="8" t="str">
        <f>'1'!$A$3</f>
        <v>Rate Level Review</v>
      </c>
      <c r="B3" s="12"/>
      <c r="J3" s="2"/>
    </row>
    <row r="4" spans="1:16" x14ac:dyDescent="0.2">
      <c r="A4" t="s">
        <v>108</v>
      </c>
      <c r="B4" s="12"/>
      <c r="J4" s="2"/>
    </row>
    <row r="5" spans="1:16" x14ac:dyDescent="0.2">
      <c r="A5" t="s">
        <v>32</v>
      </c>
      <c r="B5" s="12"/>
      <c r="E5" s="257"/>
      <c r="F5" s="257"/>
      <c r="G5" s="257"/>
      <c r="H5" s="257"/>
      <c r="J5" s="2"/>
    </row>
    <row r="6" spans="1:16" x14ac:dyDescent="0.2">
      <c r="J6" s="2"/>
    </row>
    <row r="7" spans="1:16" ht="12" thickBot="1" x14ac:dyDescent="0.25">
      <c r="A7" s="6"/>
      <c r="B7" s="6"/>
      <c r="C7" s="6"/>
      <c r="D7" s="6"/>
      <c r="E7" s="6"/>
      <c r="F7" s="6"/>
      <c r="G7" s="6"/>
      <c r="J7" s="2"/>
    </row>
    <row r="8" spans="1:16" ht="12" thickTop="1" x14ac:dyDescent="0.2">
      <c r="J8" s="2"/>
    </row>
    <row r="9" spans="1:16" x14ac:dyDescent="0.2">
      <c r="C9" s="22"/>
      <c r="D9" t="s">
        <v>38</v>
      </c>
      <c r="E9" t="s">
        <v>45</v>
      </c>
      <c r="J9" s="2"/>
      <c r="K9" s="27"/>
    </row>
    <row r="10" spans="1:16" x14ac:dyDescent="0.2">
      <c r="A10" t="s">
        <v>54</v>
      </c>
      <c r="C10" t="s">
        <v>129</v>
      </c>
      <c r="D10" t="s">
        <v>139</v>
      </c>
      <c r="E10" t="s">
        <v>43</v>
      </c>
      <c r="F10" t="s">
        <v>88</v>
      </c>
      <c r="G10" t="s">
        <v>88</v>
      </c>
      <c r="J10" s="2"/>
      <c r="K10" s="22"/>
    </row>
    <row r="11" spans="1:16" x14ac:dyDescent="0.2">
      <c r="A11" s="9" t="s">
        <v>55</v>
      </c>
      <c r="B11" s="9"/>
      <c r="C11" s="9" t="s">
        <v>130</v>
      </c>
      <c r="D11" s="9" t="s">
        <v>140</v>
      </c>
      <c r="E11" s="9" t="s">
        <v>44</v>
      </c>
      <c r="F11" s="9" t="s">
        <v>42</v>
      </c>
      <c r="G11" s="9" t="s">
        <v>79</v>
      </c>
      <c r="H11" s="164" t="s">
        <v>360</v>
      </c>
      <c r="J11" s="2"/>
      <c r="K11" s="5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6" x14ac:dyDescent="0.2">
      <c r="J13" s="2"/>
      <c r="K13" t="s">
        <v>143</v>
      </c>
      <c r="N13" t="s">
        <v>14</v>
      </c>
      <c r="O13" t="s">
        <v>75</v>
      </c>
      <c r="P13" t="s">
        <v>271</v>
      </c>
    </row>
    <row r="14" spans="1:16" x14ac:dyDescent="0.2">
      <c r="A14" s="194">
        <v>1983</v>
      </c>
      <c r="C14" s="38">
        <v>4317605</v>
      </c>
      <c r="D14" s="35">
        <f>'6.4'!$K$14</f>
        <v>2.617</v>
      </c>
      <c r="E14" s="128">
        <f>ROUND(C14*D14,0)</f>
        <v>11299172</v>
      </c>
      <c r="F14" s="38">
        <v>118889570</v>
      </c>
      <c r="G14" s="23">
        <f>ROUND(F14/E14,3)</f>
        <v>10.522</v>
      </c>
      <c r="J14" s="2"/>
      <c r="K14" s="130">
        <f>ROUND(O29,3)</f>
        <v>2.617</v>
      </c>
      <c r="L14" s="44"/>
      <c r="M14" t="s">
        <v>270</v>
      </c>
      <c r="N14" s="100">
        <f>1.3/PRODUCT(N15:N17)</f>
        <v>1.1139540074268341</v>
      </c>
      <c r="O14" s="43">
        <f>PRODUCT(N$14:N14)</f>
        <v>1.1139540074268341</v>
      </c>
      <c r="P14" s="43">
        <f>O$29/O14</f>
        <v>2.3493360399540935</v>
      </c>
    </row>
    <row r="15" spans="1:16" x14ac:dyDescent="0.2">
      <c r="A15" t="str">
        <f>TEXT(A14+1,"#")</f>
        <v>1984</v>
      </c>
      <c r="C15" s="38">
        <v>3512853</v>
      </c>
      <c r="D15" s="35">
        <f t="shared" ref="D15:D28" si="0">D$14</f>
        <v>2.617</v>
      </c>
      <c r="E15" s="128">
        <f t="shared" ref="E15:E32" si="1">ROUND(C15*D15,0)</f>
        <v>9193136</v>
      </c>
      <c r="F15" s="38">
        <v>292543</v>
      </c>
      <c r="G15" s="23">
        <f t="shared" ref="G15:G42" si="2">ROUND(F15/E15,3)</f>
        <v>3.2000000000000001E-2</v>
      </c>
      <c r="J15" s="2"/>
      <c r="M15" s="71">
        <v>36161</v>
      </c>
      <c r="N15" s="129">
        <v>0.90600000000000003</v>
      </c>
      <c r="O15" s="43">
        <f>PRODUCT(N$14:N15)</f>
        <v>1.0092423307287117</v>
      </c>
      <c r="P15" s="43">
        <f>O$29/O15</f>
        <v>2.5930861368146725</v>
      </c>
    </row>
    <row r="16" spans="1:16" x14ac:dyDescent="0.2">
      <c r="A16" t="str">
        <f t="shared" ref="A16:A46" si="3">TEXT(A15+1,"#")</f>
        <v>1985</v>
      </c>
      <c r="C16" s="38">
        <v>6066870</v>
      </c>
      <c r="D16" s="35">
        <f t="shared" si="0"/>
        <v>2.617</v>
      </c>
      <c r="E16" s="128">
        <f t="shared" si="1"/>
        <v>15876999</v>
      </c>
      <c r="F16" s="38">
        <v>265705</v>
      </c>
      <c r="G16" s="23">
        <f t="shared" si="2"/>
        <v>1.7000000000000001E-2</v>
      </c>
      <c r="J16" s="2"/>
      <c r="M16" s="71">
        <v>36526</v>
      </c>
      <c r="N16" s="129">
        <v>1.087</v>
      </c>
      <c r="O16" s="43">
        <f>PRODUCT(N$14:N16)</f>
        <v>1.0970464135021096</v>
      </c>
      <c r="P16" s="43">
        <f t="shared" ref="P16:P29" si="4">O$29/O16</f>
        <v>2.3855438241165343</v>
      </c>
    </row>
    <row r="17" spans="1:16" x14ac:dyDescent="0.2">
      <c r="A17" t="str">
        <f t="shared" si="3"/>
        <v>1986</v>
      </c>
      <c r="C17" s="38">
        <v>6846710</v>
      </c>
      <c r="D17" s="35">
        <f t="shared" si="0"/>
        <v>2.617</v>
      </c>
      <c r="E17" s="128">
        <f t="shared" si="1"/>
        <v>17917840</v>
      </c>
      <c r="F17" s="38">
        <v>187218</v>
      </c>
      <c r="G17" s="23">
        <f t="shared" si="2"/>
        <v>0.01</v>
      </c>
      <c r="J17" s="2"/>
      <c r="M17" s="71">
        <v>36892</v>
      </c>
      <c r="N17" s="129">
        <v>1.1850000000000001</v>
      </c>
      <c r="O17" s="43">
        <f>PRODUCT(N$14:N17)</f>
        <v>1.3</v>
      </c>
      <c r="P17" s="43">
        <f t="shared" si="4"/>
        <v>2.0131171511531933</v>
      </c>
    </row>
    <row r="18" spans="1:16" x14ac:dyDescent="0.2">
      <c r="A18" t="str">
        <f t="shared" si="3"/>
        <v>1987</v>
      </c>
      <c r="C18" s="38">
        <v>7738740</v>
      </c>
      <c r="D18" s="35">
        <f t="shared" si="0"/>
        <v>2.617</v>
      </c>
      <c r="E18" s="128">
        <f t="shared" si="1"/>
        <v>20252283</v>
      </c>
      <c r="F18" s="38">
        <v>111242</v>
      </c>
      <c r="G18" s="23">
        <f t="shared" si="2"/>
        <v>5.0000000000000001E-3</v>
      </c>
      <c r="J18" s="2"/>
      <c r="M18" s="71">
        <v>37987</v>
      </c>
      <c r="N18" s="129">
        <v>1.0960000000000001</v>
      </c>
      <c r="O18" s="43">
        <f>PRODUCT(N$14:N18)</f>
        <v>1.4248000000000001</v>
      </c>
      <c r="P18" s="43">
        <f t="shared" si="4"/>
        <v>1.8367857218551031</v>
      </c>
    </row>
    <row r="19" spans="1:16" x14ac:dyDescent="0.2">
      <c r="A19" t="str">
        <f t="shared" si="3"/>
        <v>1988</v>
      </c>
      <c r="C19" s="229">
        <v>8043378</v>
      </c>
      <c r="D19" s="35">
        <f t="shared" si="0"/>
        <v>2.617</v>
      </c>
      <c r="E19" s="128">
        <f t="shared" si="1"/>
        <v>21049520</v>
      </c>
      <c r="F19" s="229">
        <v>1026666</v>
      </c>
      <c r="G19" s="23">
        <f t="shared" si="2"/>
        <v>4.9000000000000002E-2</v>
      </c>
      <c r="J19" s="2"/>
      <c r="M19" s="71">
        <v>38961</v>
      </c>
      <c r="N19" s="129">
        <v>1.0309999999999999</v>
      </c>
      <c r="O19" s="43">
        <f>PRODUCT(N$14:N19)</f>
        <v>1.4689687999999999</v>
      </c>
      <c r="P19" s="43">
        <f t="shared" si="4"/>
        <v>1.781557441178568</v>
      </c>
    </row>
    <row r="20" spans="1:16" x14ac:dyDescent="0.2">
      <c r="A20" t="str">
        <f t="shared" si="3"/>
        <v>1989</v>
      </c>
      <c r="C20" s="229">
        <v>8149957</v>
      </c>
      <c r="D20" s="35">
        <f t="shared" si="0"/>
        <v>2.617</v>
      </c>
      <c r="E20" s="128">
        <f t="shared" si="1"/>
        <v>21328437</v>
      </c>
      <c r="F20" s="229">
        <v>1163813</v>
      </c>
      <c r="G20" s="23">
        <f t="shared" si="2"/>
        <v>5.5E-2</v>
      </c>
      <c r="J20" s="2"/>
      <c r="M20" s="71">
        <v>39083</v>
      </c>
      <c r="N20" s="129">
        <v>1.042</v>
      </c>
      <c r="O20" s="43">
        <f>PRODUCT(N$14:N20)</f>
        <v>1.5306654895999998</v>
      </c>
      <c r="P20" s="43">
        <f t="shared" si="4"/>
        <v>1.7097480241636929</v>
      </c>
    </row>
    <row r="21" spans="1:16" x14ac:dyDescent="0.2">
      <c r="A21" t="str">
        <f t="shared" si="3"/>
        <v>1990</v>
      </c>
      <c r="C21" s="229">
        <v>7816199</v>
      </c>
      <c r="D21" s="35">
        <f t="shared" si="0"/>
        <v>2.617</v>
      </c>
      <c r="E21" s="128">
        <f t="shared" si="1"/>
        <v>20454993</v>
      </c>
      <c r="F21" s="229">
        <v>5908943</v>
      </c>
      <c r="G21" s="23">
        <f t="shared" si="2"/>
        <v>0.28899999999999998</v>
      </c>
      <c r="J21" s="2"/>
      <c r="M21" s="71">
        <v>39479</v>
      </c>
      <c r="N21" s="129">
        <v>1.0820000000000001</v>
      </c>
      <c r="O21" s="43">
        <f>PRODUCT(N$14:N21)</f>
        <v>1.6561800597471998</v>
      </c>
      <c r="P21" s="43">
        <f t="shared" si="4"/>
        <v>1.5801737746429694</v>
      </c>
    </row>
    <row r="22" spans="1:16" x14ac:dyDescent="0.2">
      <c r="A22" t="str">
        <f t="shared" si="3"/>
        <v>1991</v>
      </c>
      <c r="C22" s="106">
        <f>ROUND('[2]TICO 2'!$O33,0)</f>
        <v>8645208</v>
      </c>
      <c r="D22" s="35">
        <f t="shared" si="0"/>
        <v>2.617</v>
      </c>
      <c r="E22" s="128">
        <f>ROUND(C22*D22,0)</f>
        <v>22624509</v>
      </c>
      <c r="F22" s="106">
        <f>ROUND('[2]TICO 2'!$U33,0)</f>
        <v>13225287</v>
      </c>
      <c r="G22" s="23">
        <f t="shared" si="2"/>
        <v>0.58499999999999996</v>
      </c>
      <c r="J22" s="2"/>
      <c r="M22" s="71">
        <v>39845</v>
      </c>
      <c r="N22" s="129">
        <v>1.123</v>
      </c>
      <c r="O22" s="43">
        <f>PRODUCT(N$14:N22)</f>
        <v>1.8598902070961054</v>
      </c>
      <c r="P22" s="43">
        <f t="shared" si="4"/>
        <v>1.4071004226562505</v>
      </c>
    </row>
    <row r="23" spans="1:16" x14ac:dyDescent="0.2">
      <c r="A23" t="str">
        <f t="shared" si="3"/>
        <v>1992</v>
      </c>
      <c r="B23" s="22"/>
      <c r="C23" s="106">
        <f>ROUND('[2]TICO 2'!$O34,0)</f>
        <v>5826467</v>
      </c>
      <c r="D23" s="35">
        <f t="shared" si="0"/>
        <v>2.617</v>
      </c>
      <c r="E23" s="128">
        <f t="shared" si="1"/>
        <v>15247864</v>
      </c>
      <c r="F23" s="106">
        <f>ROUND('[2]TICO 2'!$U34,0)</f>
        <v>180484</v>
      </c>
      <c r="G23" s="23">
        <f t="shared" si="2"/>
        <v>1.2E-2</v>
      </c>
      <c r="J23" s="2"/>
      <c r="M23" s="71">
        <v>40544</v>
      </c>
      <c r="N23" s="129">
        <v>1.05</v>
      </c>
      <c r="O23" s="43">
        <f>PRODUCT(N$14:N23)</f>
        <v>1.9528847174509107</v>
      </c>
      <c r="P23" s="43">
        <f t="shared" si="4"/>
        <v>1.3400956406250004</v>
      </c>
    </row>
    <row r="24" spans="1:16" x14ac:dyDescent="0.2">
      <c r="A24" t="str">
        <f t="shared" si="3"/>
        <v>1993</v>
      </c>
      <c r="B24" s="22"/>
      <c r="C24" s="106">
        <f>ROUND('[2]TICO 2'!$O35,0)</f>
        <v>5825916</v>
      </c>
      <c r="D24" s="35">
        <f t="shared" si="0"/>
        <v>2.617</v>
      </c>
      <c r="E24" s="128">
        <f t="shared" si="1"/>
        <v>15246422</v>
      </c>
      <c r="F24" s="106">
        <f>ROUND('[2]TICO 2'!$U35,0)</f>
        <v>1900088</v>
      </c>
      <c r="G24" s="23">
        <f t="shared" si="2"/>
        <v>0.125</v>
      </c>
      <c r="J24" s="2"/>
      <c r="M24" s="71">
        <v>40909</v>
      </c>
      <c r="N24" s="129">
        <v>1.05</v>
      </c>
      <c r="O24" s="43">
        <f>PRODUCT(N$14:N24)</f>
        <v>2.0505289533234565</v>
      </c>
      <c r="P24" s="43">
        <f t="shared" si="4"/>
        <v>1.2762815625000004</v>
      </c>
    </row>
    <row r="25" spans="1:16" x14ac:dyDescent="0.2">
      <c r="A25" t="str">
        <f t="shared" si="3"/>
        <v>1994</v>
      </c>
      <c r="B25" s="22"/>
      <c r="C25" s="106">
        <f>ROUND('[2]TICO 2'!$O36,0)</f>
        <v>6996874</v>
      </c>
      <c r="D25" s="35">
        <f t="shared" si="0"/>
        <v>2.617</v>
      </c>
      <c r="E25" s="128">
        <f t="shared" si="1"/>
        <v>18310819</v>
      </c>
      <c r="F25" s="106">
        <f>ROUND('[2]TICO 2'!$U36,0)</f>
        <v>420038</v>
      </c>
      <c r="G25" s="23">
        <f t="shared" si="2"/>
        <v>2.3E-2</v>
      </c>
      <c r="J25" s="2"/>
      <c r="M25" s="71">
        <v>41275</v>
      </c>
      <c r="N25" s="129">
        <v>1.05</v>
      </c>
      <c r="O25" s="43">
        <f>PRODUCT(N$14:N25)</f>
        <v>2.1530554009896297</v>
      </c>
      <c r="P25" s="43">
        <f t="shared" si="4"/>
        <v>1.21550625</v>
      </c>
    </row>
    <row r="26" spans="1:16" x14ac:dyDescent="0.2">
      <c r="A26" t="str">
        <f t="shared" si="3"/>
        <v>1995</v>
      </c>
      <c r="C26" s="106">
        <f>ROUND('[2]TICO 2'!$O37,0)</f>
        <v>8737576</v>
      </c>
      <c r="D26" s="35">
        <f t="shared" si="0"/>
        <v>2.617</v>
      </c>
      <c r="E26" s="128">
        <f t="shared" si="1"/>
        <v>22866236</v>
      </c>
      <c r="F26" s="106">
        <f>ROUND('[2]TICO 2'!$U37,0)</f>
        <v>644169</v>
      </c>
      <c r="G26" s="23">
        <f t="shared" si="2"/>
        <v>2.8000000000000001E-2</v>
      </c>
      <c r="J26" s="2"/>
      <c r="M26" s="71">
        <v>41640</v>
      </c>
      <c r="N26" s="129">
        <v>1.05</v>
      </c>
      <c r="O26" s="43">
        <f>PRODUCT(N$14:N26)</f>
        <v>2.260708171039111</v>
      </c>
      <c r="P26" s="43">
        <f t="shared" si="4"/>
        <v>1.1576250000000001</v>
      </c>
    </row>
    <row r="27" spans="1:16" x14ac:dyDescent="0.2">
      <c r="A27" t="str">
        <f t="shared" si="3"/>
        <v>1996</v>
      </c>
      <c r="C27" s="106">
        <f>ROUND('[2]TICO 2'!$O38,0)</f>
        <v>11652672</v>
      </c>
      <c r="D27" s="35">
        <f t="shared" si="0"/>
        <v>2.617</v>
      </c>
      <c r="E27" s="128">
        <f t="shared" si="1"/>
        <v>30495043</v>
      </c>
      <c r="F27" s="106">
        <f>ROUND('[2]TICO 2'!$U38,0)</f>
        <v>406004</v>
      </c>
      <c r="G27" s="23">
        <f t="shared" si="2"/>
        <v>1.2999999999999999E-2</v>
      </c>
      <c r="J27" s="2"/>
      <c r="M27" s="71">
        <v>42005</v>
      </c>
      <c r="N27" s="129">
        <v>1.05</v>
      </c>
      <c r="O27" s="43">
        <f>PRODUCT(N$14:N27)</f>
        <v>2.3737435795910669</v>
      </c>
      <c r="P27" s="43">
        <f t="shared" si="4"/>
        <v>1.1025</v>
      </c>
    </row>
    <row r="28" spans="1:16" x14ac:dyDescent="0.2">
      <c r="A28" t="str">
        <f t="shared" si="3"/>
        <v>1997</v>
      </c>
      <c r="C28" s="106">
        <f>ROUND('[2]TICO 2'!$O39,0)</f>
        <v>12573252</v>
      </c>
      <c r="D28" s="35">
        <f t="shared" si="0"/>
        <v>2.617</v>
      </c>
      <c r="E28" s="128">
        <f t="shared" si="1"/>
        <v>32904200</v>
      </c>
      <c r="F28" s="106">
        <f>ROUND('[2]TICO 2'!$U39,0)</f>
        <v>573343</v>
      </c>
      <c r="G28" s="23">
        <f t="shared" si="2"/>
        <v>1.7000000000000001E-2</v>
      </c>
      <c r="J28" s="2"/>
      <c r="M28" s="71">
        <v>42370</v>
      </c>
      <c r="N28" s="129">
        <v>1.05</v>
      </c>
      <c r="O28" s="43">
        <f>PRODUCT(N$14:N28)</f>
        <v>2.4924307585706202</v>
      </c>
      <c r="P28" s="43">
        <f t="shared" si="4"/>
        <v>1.05</v>
      </c>
    </row>
    <row r="29" spans="1:16" x14ac:dyDescent="0.2">
      <c r="A29" t="str">
        <f t="shared" si="3"/>
        <v>1998</v>
      </c>
      <c r="C29" s="106">
        <f>ROUND('[2]TICO 2'!$O40,0)</f>
        <v>13838930</v>
      </c>
      <c r="D29" s="35">
        <f>D$14</f>
        <v>2.617</v>
      </c>
      <c r="E29" s="128">
        <f t="shared" si="1"/>
        <v>36216480</v>
      </c>
      <c r="F29" s="106">
        <f>ROUND('[2]TICO 2'!$U40,0)</f>
        <v>6371206</v>
      </c>
      <c r="G29" s="23">
        <f t="shared" si="2"/>
        <v>0.17599999999999999</v>
      </c>
      <c r="J29" s="2"/>
      <c r="M29" s="71">
        <v>43101</v>
      </c>
      <c r="N29" s="129">
        <v>1.05</v>
      </c>
      <c r="O29" s="43">
        <f>PRODUCT(N$14:N29)</f>
        <v>2.6170522964991512</v>
      </c>
      <c r="P29" s="43">
        <f t="shared" si="4"/>
        <v>1</v>
      </c>
    </row>
    <row r="30" spans="1:16" x14ac:dyDescent="0.2">
      <c r="A30" t="str">
        <f t="shared" si="3"/>
        <v>1999</v>
      </c>
      <c r="C30" s="106">
        <f>ROUND('[2]TICO 2'!$O41,0)</f>
        <v>14103814</v>
      </c>
      <c r="D30" s="225">
        <f>P15</f>
        <v>2.5930861368146725</v>
      </c>
      <c r="E30" s="128">
        <f t="shared" si="1"/>
        <v>36572405</v>
      </c>
      <c r="F30" s="106">
        <f>ROUND('[2]TICO 2'!$U41,0)</f>
        <v>742130</v>
      </c>
      <c r="G30" s="23">
        <f t="shared" si="2"/>
        <v>0.02</v>
      </c>
      <c r="J30" s="2"/>
    </row>
    <row r="31" spans="1:16" x14ac:dyDescent="0.2">
      <c r="A31" t="str">
        <f t="shared" si="3"/>
        <v>2000</v>
      </c>
      <c r="C31" s="106">
        <f>ROUND('[2]TICO 2'!$O42,0)</f>
        <v>15784218</v>
      </c>
      <c r="D31" s="225">
        <f>P16</f>
        <v>2.3855438241165343</v>
      </c>
      <c r="E31" s="128">
        <f t="shared" si="1"/>
        <v>37653944</v>
      </c>
      <c r="F31" s="106">
        <f>ROUND('[2]TICO 2'!$U42,0)</f>
        <v>324948</v>
      </c>
      <c r="G31" s="23">
        <f t="shared" si="2"/>
        <v>8.9999999999999993E-3</v>
      </c>
      <c r="H31" s="258"/>
      <c r="J31" s="2"/>
    </row>
    <row r="32" spans="1:16" x14ac:dyDescent="0.2">
      <c r="A32" t="str">
        <f t="shared" si="3"/>
        <v>2001</v>
      </c>
      <c r="C32" s="106">
        <f>ROUND('[2]TICO 2'!$O43,0)</f>
        <v>17776666</v>
      </c>
      <c r="D32" s="225">
        <f>P17</f>
        <v>2.0131171511531933</v>
      </c>
      <c r="E32" s="128">
        <f t="shared" si="1"/>
        <v>35786511</v>
      </c>
      <c r="F32" s="106">
        <f>ROUND('[2]TICO 2'!$U43,0)</f>
        <v>1947817</v>
      </c>
      <c r="G32" s="23">
        <f t="shared" si="2"/>
        <v>5.3999999999999999E-2</v>
      </c>
      <c r="H32" s="258"/>
      <c r="J32" s="2"/>
    </row>
    <row r="33" spans="1:15" x14ac:dyDescent="0.2">
      <c r="A33" t="str">
        <f t="shared" si="3"/>
        <v>2002</v>
      </c>
      <c r="C33" s="106">
        <f>ROUND('[2]TICO 2'!$O44,0)</f>
        <v>20514469</v>
      </c>
      <c r="D33" s="225">
        <f>D32</f>
        <v>2.0131171511531933</v>
      </c>
      <c r="E33" s="128">
        <f t="shared" ref="E33:E47" si="5">ROUND(C33*D33,0)</f>
        <v>41298029</v>
      </c>
      <c r="F33" s="106">
        <f>ROUND('[2]TICO 2'!$U44,0)</f>
        <v>10059284</v>
      </c>
      <c r="G33" s="23">
        <f t="shared" si="2"/>
        <v>0.24399999999999999</v>
      </c>
      <c r="H33" s="258"/>
      <c r="J33" s="2"/>
    </row>
    <row r="34" spans="1:15" x14ac:dyDescent="0.2">
      <c r="A34" t="str">
        <f t="shared" si="3"/>
        <v>2003</v>
      </c>
      <c r="C34" s="106">
        <f>ROUND('[2]TICO 2'!$O45,0)</f>
        <v>25868450</v>
      </c>
      <c r="D34" s="225">
        <f>'[2]TWIA 5'!$J236</f>
        <v>2.0131171511531929</v>
      </c>
      <c r="E34" s="128">
        <f t="shared" si="5"/>
        <v>52076220</v>
      </c>
      <c r="F34" s="106">
        <f>ROUND('[2]TICO 2'!$U45,0)</f>
        <v>2672918</v>
      </c>
      <c r="G34" s="23">
        <f t="shared" si="2"/>
        <v>5.0999999999999997E-2</v>
      </c>
      <c r="H34" s="258"/>
      <c r="J34" s="2"/>
    </row>
    <row r="35" spans="1:15" x14ac:dyDescent="0.2">
      <c r="A35" t="str">
        <f t="shared" si="3"/>
        <v>2004</v>
      </c>
      <c r="B35" s="62"/>
      <c r="C35" s="106">
        <f>ROUND('[2]TICO 2'!$O46,0)</f>
        <v>30357860</v>
      </c>
      <c r="D35" s="225">
        <f>'[2]TWIA 5'!$J237</f>
        <v>1.9195987469434546</v>
      </c>
      <c r="E35" s="128">
        <f t="shared" si="5"/>
        <v>58274910</v>
      </c>
      <c r="F35" s="106">
        <f>ROUND('[2]TICO 2'!$U46,0)</f>
        <v>731759</v>
      </c>
      <c r="G35" s="23">
        <f t="shared" si="2"/>
        <v>1.2999999999999999E-2</v>
      </c>
      <c r="J35" s="2"/>
    </row>
    <row r="36" spans="1:15" x14ac:dyDescent="0.2">
      <c r="A36" t="str">
        <f t="shared" si="3"/>
        <v>2005</v>
      </c>
      <c r="C36" s="106">
        <f>ROUND('[2]TICO 2'!$O47,0)</f>
        <v>36780457</v>
      </c>
      <c r="D36" s="225">
        <f>'[2]TWIA 5'!$J238</f>
        <v>1.8367857218551029</v>
      </c>
      <c r="E36" s="128">
        <f t="shared" si="5"/>
        <v>67557818</v>
      </c>
      <c r="F36" s="106">
        <f>ROUND('[2]TICO 2'!$U47,0)</f>
        <v>34527644</v>
      </c>
      <c r="G36" s="23">
        <f t="shared" si="2"/>
        <v>0.51100000000000001</v>
      </c>
      <c r="J36" s="2"/>
    </row>
    <row r="37" spans="1:15" x14ac:dyDescent="0.2">
      <c r="A37" t="str">
        <f t="shared" si="3"/>
        <v>2006</v>
      </c>
      <c r="C37" s="106">
        <f>ROUND('[2]TICO 2'!$O48,0)</f>
        <v>43562211</v>
      </c>
      <c r="D37" s="225">
        <f>'[2]TWIA 5'!$J239</f>
        <v>1.8323775762609837</v>
      </c>
      <c r="E37" s="128">
        <f t="shared" si="5"/>
        <v>79822419</v>
      </c>
      <c r="F37" s="106">
        <f>ROUND('[2]TICO 2'!$U48,0)</f>
        <v>813430</v>
      </c>
      <c r="G37" s="23">
        <f t="shared" si="2"/>
        <v>0.01</v>
      </c>
      <c r="J37" s="2"/>
    </row>
    <row r="38" spans="1:15" x14ac:dyDescent="0.2">
      <c r="A38" s="50" t="str">
        <f t="shared" si="3"/>
        <v>2007</v>
      </c>
      <c r="B38" s="51"/>
      <c r="C38" s="106">
        <f>ROUND('[2]TICO 2'!$O49,0)</f>
        <v>59282257</v>
      </c>
      <c r="D38" s="225">
        <f>'[2]TWIA 5'!$J240</f>
        <v>1.7490128310516411</v>
      </c>
      <c r="E38" s="128">
        <f t="shared" si="5"/>
        <v>103685428</v>
      </c>
      <c r="F38" s="106">
        <f>ROUND('[2]TICO 2'!$U49,0)</f>
        <v>2757645</v>
      </c>
      <c r="G38" s="53">
        <f t="shared" si="2"/>
        <v>2.7E-2</v>
      </c>
      <c r="J38" s="2"/>
    </row>
    <row r="39" spans="1:15" x14ac:dyDescent="0.2">
      <c r="A39" s="50" t="str">
        <f t="shared" si="3"/>
        <v>2008</v>
      </c>
      <c r="B39" s="62"/>
      <c r="C39" s="106">
        <f>ROUND('[2]TICO 2'!$O50,0)</f>
        <v>73789694</v>
      </c>
      <c r="D39" s="225">
        <f>'[2]TWIA 5'!$J241</f>
        <v>1.6495345789525933</v>
      </c>
      <c r="E39" s="128">
        <f t="shared" si="5"/>
        <v>121718652</v>
      </c>
      <c r="F39" s="106">
        <f>ROUND('[2]TICO 2'!$U50,0)-K41</f>
        <v>845466768</v>
      </c>
      <c r="G39" s="53">
        <f>ROUND(F39/E39,3)</f>
        <v>6.9459999999999997</v>
      </c>
      <c r="H39" s="43"/>
      <c r="I39" s="43"/>
      <c r="J39" s="2"/>
    </row>
    <row r="40" spans="1:15" x14ac:dyDescent="0.2">
      <c r="A40" s="50" t="str">
        <f t="shared" si="3"/>
        <v>2009</v>
      </c>
      <c r="B40" s="62"/>
      <c r="C40" s="106">
        <f>ROUND('[2]TICO 2'!$O51,0)</f>
        <v>81999709</v>
      </c>
      <c r="D40" s="225">
        <f>'[2]TWIA 5'!$J242</f>
        <v>1.4987056675771686</v>
      </c>
      <c r="E40" s="128">
        <f>ROUND(C40*D40,0)</f>
        <v>122893429</v>
      </c>
      <c r="F40" s="106">
        <f>ROUND('[2]TICO 2'!$U51,0)</f>
        <v>3581024</v>
      </c>
      <c r="G40" s="53">
        <f t="shared" si="2"/>
        <v>2.9000000000000001E-2</v>
      </c>
      <c r="J40" s="2"/>
      <c r="K40" t="s">
        <v>339</v>
      </c>
    </row>
    <row r="41" spans="1:15" x14ac:dyDescent="0.2">
      <c r="A41" s="50" t="str">
        <f t="shared" si="3"/>
        <v>2010</v>
      </c>
      <c r="B41" s="62"/>
      <c r="C41" s="106">
        <f>ROUND('[2]TICO 2'!$O52,0)</f>
        <v>89665314</v>
      </c>
      <c r="D41" s="225">
        <f>'[2]TWIA 5'!$J243</f>
        <v>1.4074808531397425</v>
      </c>
      <c r="E41" s="128">
        <f t="shared" si="5"/>
        <v>126202213</v>
      </c>
      <c r="F41" s="106">
        <f>ROUND('[2]TICO 2'!$U52,0)</f>
        <v>1451547</v>
      </c>
      <c r="G41" s="53">
        <f t="shared" si="2"/>
        <v>1.2E-2</v>
      </c>
      <c r="H41" s="19"/>
      <c r="J41" s="2"/>
      <c r="K41" s="325">
        <v>206858309</v>
      </c>
      <c r="L41" s="19"/>
    </row>
    <row r="42" spans="1:15" x14ac:dyDescent="0.2">
      <c r="A42" s="50" t="str">
        <f t="shared" si="3"/>
        <v>2011</v>
      </c>
      <c r="B42" s="62"/>
      <c r="C42" s="106">
        <f>ROUND('[2]TICO 2'!$O53,0)</f>
        <v>93230854</v>
      </c>
      <c r="D42" s="225">
        <f>'[2]TWIA 5'!$J244</f>
        <v>1.3727166755238378</v>
      </c>
      <c r="E42" s="128">
        <f t="shared" si="5"/>
        <v>127979548</v>
      </c>
      <c r="F42" s="106">
        <f>ROUND('[2]TICO 2'!$U53,0)</f>
        <v>1329886</v>
      </c>
      <c r="G42" s="53">
        <f t="shared" si="2"/>
        <v>0.01</v>
      </c>
      <c r="J42" s="2"/>
    </row>
    <row r="43" spans="1:15" s="62" customFormat="1" x14ac:dyDescent="0.2">
      <c r="A43" s="50" t="str">
        <f t="shared" si="3"/>
        <v>2012</v>
      </c>
      <c r="B43" s="45"/>
      <c r="C43" s="106">
        <f>ROUND('[2]TICO 2'!$O54,0)</f>
        <v>99629727</v>
      </c>
      <c r="D43" s="225">
        <f>'[2]TWIA 5'!$J245</f>
        <v>1.3073731976777445</v>
      </c>
      <c r="E43" s="128">
        <f>ROUND(C43*D43,0)</f>
        <v>130253235</v>
      </c>
      <c r="F43" s="106">
        <f>ROUND('[2]TICO 2'!$U54,0)</f>
        <v>10756644</v>
      </c>
      <c r="G43" s="53">
        <f t="shared" ref="G43:G49" si="6">ROUND(F43/E43,3)</f>
        <v>8.3000000000000004E-2</v>
      </c>
      <c r="I43"/>
      <c r="J43" s="2"/>
      <c r="M43"/>
      <c r="N43"/>
      <c r="O43"/>
    </row>
    <row r="44" spans="1:15" s="62" customFormat="1" x14ac:dyDescent="0.2">
      <c r="A44" s="50" t="str">
        <f t="shared" si="3"/>
        <v>2013</v>
      </c>
      <c r="B44" s="45"/>
      <c r="C44" s="106">
        <f>ROUND('[2]TICO 2'!$O55,0)</f>
        <v>107104250</v>
      </c>
      <c r="D44" s="225">
        <f>'[2]TWIA 5'!$J246</f>
        <v>1.2452851041347781</v>
      </c>
      <c r="E44" s="128">
        <f>ROUND(C44*D44,0)</f>
        <v>133375327</v>
      </c>
      <c r="F44" s="106">
        <f>ROUND('[2]TICO 2'!$U55,0)</f>
        <v>54316145</v>
      </c>
      <c r="G44" s="53">
        <f t="shared" si="6"/>
        <v>0.40699999999999997</v>
      </c>
      <c r="I44"/>
      <c r="J44" s="2"/>
      <c r="M44"/>
      <c r="N44"/>
      <c r="O44"/>
    </row>
    <row r="45" spans="1:15" s="62" customFormat="1" x14ac:dyDescent="0.2">
      <c r="A45" s="50" t="str">
        <f t="shared" si="3"/>
        <v>2014</v>
      </c>
      <c r="B45" s="45"/>
      <c r="C45" s="106">
        <f>ROUND('[2]TICO 2'!$O56,0)</f>
        <v>114784032</v>
      </c>
      <c r="D45" s="225">
        <f>'[2]TWIA 5'!$J247</f>
        <v>1.1862347753925764</v>
      </c>
      <c r="E45" s="128">
        <f t="shared" si="5"/>
        <v>136160810</v>
      </c>
      <c r="F45" s="106">
        <f>ROUND('[2]TICO 2'!$U56,0)</f>
        <v>691708</v>
      </c>
      <c r="G45" s="53">
        <f t="shared" si="6"/>
        <v>5.0000000000000001E-3</v>
      </c>
      <c r="I45"/>
      <c r="J45" s="2"/>
      <c r="M45"/>
      <c r="N45" t="s">
        <v>353</v>
      </c>
      <c r="O45"/>
    </row>
    <row r="46" spans="1:15" x14ac:dyDescent="0.2">
      <c r="A46" s="50" t="str">
        <f t="shared" si="3"/>
        <v>2015</v>
      </c>
      <c r="B46" s="45"/>
      <c r="C46" s="106">
        <f>ROUND('[2]TICO 2'!$O57,0)</f>
        <v>122782019</v>
      </c>
      <c r="D46" s="225">
        <f>'[2]TWIA 5'!$J248</f>
        <v>1.1299661810216541</v>
      </c>
      <c r="E46" s="128">
        <f t="shared" si="5"/>
        <v>138739529</v>
      </c>
      <c r="F46" s="106">
        <f>ROUND('[2]TICO 2'!$U57,0)</f>
        <v>17655480</v>
      </c>
      <c r="G46" s="53">
        <f t="shared" si="6"/>
        <v>0.127</v>
      </c>
      <c r="J46" s="2"/>
      <c r="N46" s="19">
        <f>F48+'6.5'!F48+'6.6'!F48+'6.7'!F48</f>
        <v>1047156040</v>
      </c>
    </row>
    <row r="47" spans="1:15" s="62" customFormat="1" x14ac:dyDescent="0.2">
      <c r="A47" s="51">
        <v>2016</v>
      </c>
      <c r="B47" s="45"/>
      <c r="C47" s="106">
        <f>ROUND('[2]TICO 2'!$O58,0)</f>
        <v>127007324</v>
      </c>
      <c r="D47" s="225">
        <f>'[2]TWIA 5'!$J249</f>
        <v>1.0765597532120244</v>
      </c>
      <c r="E47" s="128">
        <f t="shared" si="5"/>
        <v>136730973</v>
      </c>
      <c r="F47" s="106">
        <f>ROUND('[2]TICO 2'!$U58,0)</f>
        <v>11289476</v>
      </c>
      <c r="G47" s="53">
        <f t="shared" si="6"/>
        <v>8.3000000000000004E-2</v>
      </c>
      <c r="H47" s="50"/>
      <c r="I47"/>
      <c r="J47" s="2"/>
      <c r="M47"/>
      <c r="N47"/>
      <c r="O47"/>
    </row>
    <row r="48" spans="1:15" s="62" customFormat="1" x14ac:dyDescent="0.2">
      <c r="A48" s="51">
        <v>2017</v>
      </c>
      <c r="B48" s="45"/>
      <c r="C48" s="106">
        <f>ROUND('[2]TICO 2'!$O59,0)</f>
        <v>126002753</v>
      </c>
      <c r="D48" s="225">
        <f>'[2]TWIA 5'!$J250</f>
        <v>1.0500000000000014</v>
      </c>
      <c r="E48" s="128">
        <f>ROUND(C48*D48,0)</f>
        <v>132302891</v>
      </c>
      <c r="F48" s="106">
        <f>ROUND('[2]TICO 2'!$U59,0)</f>
        <v>38944566</v>
      </c>
      <c r="G48" s="53">
        <f t="shared" si="6"/>
        <v>0.29399999999999998</v>
      </c>
      <c r="H48" s="50"/>
      <c r="I48"/>
      <c r="J48" s="2"/>
      <c r="M48"/>
      <c r="N48"/>
      <c r="O48"/>
    </row>
    <row r="49" spans="1:15" s="62" customFormat="1" x14ac:dyDescent="0.2">
      <c r="A49" s="26">
        <v>2018</v>
      </c>
      <c r="B49" s="190"/>
      <c r="C49" s="85">
        <f>ROUND('[2]TICO 2'!$O60,0)</f>
        <v>122707420</v>
      </c>
      <c r="D49" s="226">
        <f>'[2]TWIA 5'!$J251</f>
        <v>1.0255439472483592</v>
      </c>
      <c r="E49" s="32">
        <f>ROUND(C49*D49,0)</f>
        <v>125841852</v>
      </c>
      <c r="F49" s="85">
        <f>ROUND('[2]TICO 2'!$U60,0)</f>
        <v>2791799</v>
      </c>
      <c r="G49" s="89">
        <f t="shared" si="6"/>
        <v>2.1999999999999999E-2</v>
      </c>
      <c r="H49"/>
      <c r="I49"/>
      <c r="J49" s="2"/>
      <c r="M49"/>
      <c r="N49"/>
      <c r="O49"/>
    </row>
    <row r="50" spans="1:15" s="62" customFormat="1" x14ac:dyDescent="0.2">
      <c r="A50" s="51"/>
      <c r="B50" s="45"/>
      <c r="C50" s="106"/>
      <c r="D50" s="225"/>
      <c r="E50" s="128"/>
      <c r="F50" s="106"/>
      <c r="G50" s="53"/>
      <c r="H50"/>
      <c r="I50"/>
      <c r="J50" s="2"/>
      <c r="M50"/>
      <c r="N50"/>
      <c r="O50"/>
    </row>
    <row r="51" spans="1:15" x14ac:dyDescent="0.2">
      <c r="A51" s="50"/>
      <c r="B51" s="45"/>
      <c r="C51" s="106"/>
      <c r="D51" s="225"/>
      <c r="E51" s="128"/>
      <c r="F51" s="106"/>
      <c r="G51" s="53"/>
      <c r="J51" s="2"/>
    </row>
    <row r="52" spans="1:15" x14ac:dyDescent="0.2">
      <c r="A52" s="62" t="s">
        <v>9</v>
      </c>
      <c r="B52" s="62"/>
      <c r="C52" s="31">
        <f>SUM(C14:C49)</f>
        <v>1549322705</v>
      </c>
      <c r="D52" s="31"/>
      <c r="E52" s="31">
        <f>SUM(E14:E49)</f>
        <v>2276210096</v>
      </c>
      <c r="F52" s="31">
        <f>SUM(F14:F49)</f>
        <v>1194418937</v>
      </c>
      <c r="G52" s="23">
        <f>ROUND(F52/E52,3)</f>
        <v>0.52500000000000002</v>
      </c>
      <c r="J52" s="2"/>
      <c r="K52" t="s">
        <v>220</v>
      </c>
      <c r="L52" t="s">
        <v>221</v>
      </c>
      <c r="M52" s="62"/>
      <c r="N52" s="62"/>
      <c r="O52" s="62"/>
    </row>
    <row r="53" spans="1:15" s="62" customFormat="1" ht="12" thickBot="1" x14ac:dyDescent="0.25">
      <c r="A53" s="6"/>
      <c r="B53" s="6"/>
      <c r="C53" s="6"/>
      <c r="D53" s="6"/>
      <c r="E53" s="6"/>
      <c r="F53" s="6"/>
      <c r="G53" s="6"/>
      <c r="I53"/>
      <c r="J53" s="2"/>
      <c r="K53" s="86">
        <f>'[2]TICO 2'!$E$1</f>
        <v>43373</v>
      </c>
      <c r="L53" s="86">
        <f>'[2]TICO 2'!$E$2</f>
        <v>43465</v>
      </c>
      <c r="M53"/>
      <c r="N53"/>
      <c r="O53"/>
    </row>
    <row r="54" spans="1:15" s="62" customFormat="1" ht="12" thickTop="1" x14ac:dyDescent="0.2">
      <c r="A54"/>
      <c r="B54"/>
      <c r="C54"/>
      <c r="D54"/>
      <c r="E54"/>
      <c r="F54"/>
      <c r="G54"/>
      <c r="H54"/>
      <c r="I54"/>
      <c r="J54" s="2"/>
      <c r="M54"/>
      <c r="N54"/>
      <c r="O54"/>
    </row>
    <row r="55" spans="1:15" x14ac:dyDescent="0.2">
      <c r="A55" t="s">
        <v>18</v>
      </c>
      <c r="F55" s="45"/>
      <c r="J55" s="2"/>
      <c r="M55" s="62"/>
      <c r="N55" s="62"/>
      <c r="O55" s="62"/>
    </row>
    <row r="56" spans="1:15" x14ac:dyDescent="0.2">
      <c r="A56" s="22" t="str">
        <f>C12&amp;" Provided by TDI.  Accident years ending "&amp;TEXT($K$53,"m/d/xx")&amp;" as of "&amp;TEXT($L$53,"m/d/yyyy")</f>
        <v>(2) Provided by TDI.  Accident years ending 9/30/xx as of 12/31/2018</v>
      </c>
      <c r="J56" s="2"/>
      <c r="M56" s="62"/>
      <c r="N56" s="62"/>
      <c r="O56" s="62"/>
    </row>
    <row r="57" spans="1:15" x14ac:dyDescent="0.2">
      <c r="A57" s="22" t="str">
        <f>D12&amp;" 1998 and prior judgementally selected; 1999 - 2018 based on TWIA on-level factors"</f>
        <v>(3) 1998 and prior judgementally selected; 1999 - 2018 based on TWIA on-level factors</v>
      </c>
      <c r="J57" s="2"/>
    </row>
    <row r="58" spans="1:15" x14ac:dyDescent="0.2">
      <c r="A58" s="22" t="str">
        <f>E12&amp;" = "&amp;C12&amp;" * "&amp;D12</f>
        <v>(4) = (2) * (3)</v>
      </c>
      <c r="J58" s="2"/>
    </row>
    <row r="59" spans="1:15" x14ac:dyDescent="0.2">
      <c r="A59" s="22" t="str">
        <f>F12&amp;" Provided by TDI. Accidn't yrs ending "&amp;TEXT($K$53,"m/d/xx")&amp;" as of "&amp;TEXT($L$53,"m/d/yyyy")&amp;"; "&amp;" 2008 IKE incurred loss was adjusted down by $206,858,309"</f>
        <v>(5) Provided by TDI. Accidn't yrs ending 9/30/xx as of 12/31/2018;  2008 IKE incurred loss was adjusted down by $206,858,309</v>
      </c>
      <c r="B59" s="62"/>
      <c r="C59" s="62"/>
      <c r="D59" s="62"/>
      <c r="E59" s="62"/>
      <c r="F59" s="62"/>
      <c r="J59" s="2"/>
      <c r="K59" s="43">
        <f>[2]ISO!$Z$39</f>
        <v>1.0686829029288312</v>
      </c>
    </row>
    <row r="60" spans="1:15" x14ac:dyDescent="0.2">
      <c r="A60" t="s">
        <v>363</v>
      </c>
      <c r="J60" s="2"/>
      <c r="K60" s="43">
        <v>1.27</v>
      </c>
    </row>
    <row r="61" spans="1:15" s="62" customFormat="1" ht="12" thickBot="1" x14ac:dyDescent="0.25">
      <c r="A61" s="22" t="str">
        <f>G12&amp;" = "&amp;F12&amp;" / "&amp;E12</f>
        <v>(6) = (5) / (4)</v>
      </c>
      <c r="B61" s="22"/>
      <c r="C61"/>
      <c r="D61" s="63"/>
      <c r="E61" s="63"/>
      <c r="F61" s="63"/>
      <c r="G61" s="23"/>
      <c r="H61"/>
      <c r="I61"/>
      <c r="J61" s="2"/>
      <c r="M61"/>
      <c r="N61"/>
      <c r="O61"/>
    </row>
    <row r="62" spans="1:15" ht="12" thickBot="1" x14ac:dyDescent="0.25">
      <c r="A62" s="4"/>
      <c r="B62" s="5"/>
      <c r="C62" s="5"/>
      <c r="D62" s="5"/>
      <c r="E62" s="5"/>
      <c r="F62" s="5"/>
      <c r="G62" s="5"/>
      <c r="H62" s="5"/>
      <c r="I62" s="5"/>
      <c r="J6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/>
  <dimension ref="A1:L62"/>
  <sheetViews>
    <sheetView topLeftCell="A26" zoomScaleNormal="100" workbookViewId="0">
      <selection activeCell="I70" sqref="I70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1" x14ac:dyDescent="0.2">
      <c r="A1" s="8" t="str">
        <f>'1'!$A$1</f>
        <v>Texas Windstorm Insurance Association</v>
      </c>
      <c r="B1" s="12"/>
      <c r="I1" s="7" t="s">
        <v>107</v>
      </c>
      <c r="J1" s="1"/>
    </row>
    <row r="2" spans="1:11" x14ac:dyDescent="0.2">
      <c r="A2" s="8" t="str">
        <f>'1'!$A$2</f>
        <v>Residential Property - Wind &amp; Hail</v>
      </c>
      <c r="B2" s="12"/>
      <c r="I2" s="7" t="s">
        <v>95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108</v>
      </c>
      <c r="B4" s="12"/>
      <c r="J4" s="2"/>
    </row>
    <row r="5" spans="1:11" x14ac:dyDescent="0.2">
      <c r="A5" t="s">
        <v>46</v>
      </c>
      <c r="B5" s="12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J7" s="2"/>
    </row>
    <row r="8" spans="1:11" ht="12" thickTop="1" x14ac:dyDescent="0.2">
      <c r="J8" s="2"/>
    </row>
    <row r="9" spans="1:11" x14ac:dyDescent="0.2">
      <c r="C9" s="22"/>
      <c r="D9" t="s">
        <v>38</v>
      </c>
      <c r="E9" t="s">
        <v>45</v>
      </c>
      <c r="J9" s="2"/>
      <c r="K9" s="27"/>
    </row>
    <row r="10" spans="1:11" x14ac:dyDescent="0.2">
      <c r="A10" t="s">
        <v>54</v>
      </c>
      <c r="C10" t="s">
        <v>129</v>
      </c>
      <c r="D10" t="s">
        <v>139</v>
      </c>
      <c r="E10" t="s">
        <v>43</v>
      </c>
      <c r="F10" t="s">
        <v>88</v>
      </c>
      <c r="G10" t="s">
        <v>88</v>
      </c>
      <c r="J10" s="2"/>
      <c r="K10" s="22"/>
    </row>
    <row r="11" spans="1:11" x14ac:dyDescent="0.2">
      <c r="A11" s="9" t="s">
        <v>55</v>
      </c>
      <c r="B11" s="9"/>
      <c r="C11" s="9" t="s">
        <v>130</v>
      </c>
      <c r="D11" s="9" t="s">
        <v>140</v>
      </c>
      <c r="E11" s="9" t="s">
        <v>44</v>
      </c>
      <c r="F11" s="9" t="s">
        <v>42</v>
      </c>
      <c r="G11" s="9" t="s">
        <v>79</v>
      </c>
      <c r="J11" s="2"/>
      <c r="K11" s="5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1" x14ac:dyDescent="0.2">
      <c r="J13" s="2"/>
    </row>
    <row r="14" spans="1:11" x14ac:dyDescent="0.2">
      <c r="A14" s="194">
        <v>1983</v>
      </c>
      <c r="C14" s="38">
        <v>2331938</v>
      </c>
      <c r="D14" s="107">
        <f>'6.4'!D14</f>
        <v>2.617</v>
      </c>
      <c r="E14" s="31">
        <f t="shared" ref="E14:E45" si="0">C14*D14</f>
        <v>6102681.7460000003</v>
      </c>
      <c r="F14" s="38">
        <v>377010</v>
      </c>
      <c r="G14" s="23">
        <f>F14/E14</f>
        <v>6.1777758646370674E-2</v>
      </c>
      <c r="J14" s="2"/>
    </row>
    <row r="15" spans="1:11" x14ac:dyDescent="0.2">
      <c r="A15" t="str">
        <f>TEXT(A14+1,"#")</f>
        <v>1984</v>
      </c>
      <c r="C15" s="38">
        <v>1632317</v>
      </c>
      <c r="D15" s="107">
        <f>'6.4'!D15</f>
        <v>2.617</v>
      </c>
      <c r="E15" s="31">
        <f t="shared" si="0"/>
        <v>4271773.5889999997</v>
      </c>
      <c r="F15" s="38">
        <v>249086</v>
      </c>
      <c r="G15" s="23">
        <f>F15/E15</f>
        <v>5.8309738287957755E-2</v>
      </c>
      <c r="J15" s="2"/>
    </row>
    <row r="16" spans="1:11" x14ac:dyDescent="0.2">
      <c r="A16" t="str">
        <f t="shared" ref="A16:A46" si="1">TEXT(A15+1,"#")</f>
        <v>1985</v>
      </c>
      <c r="C16" s="38">
        <v>2505564</v>
      </c>
      <c r="D16" s="107">
        <f>'6.4'!D16</f>
        <v>2.617</v>
      </c>
      <c r="E16" s="31">
        <f t="shared" si="0"/>
        <v>6557060.9879999999</v>
      </c>
      <c r="F16" s="38">
        <v>467721</v>
      </c>
      <c r="G16" s="23">
        <f>F16/E16</f>
        <v>7.1330890601135274E-2</v>
      </c>
      <c r="J16" s="2"/>
    </row>
    <row r="17" spans="1:10" x14ac:dyDescent="0.2">
      <c r="A17" t="str">
        <f t="shared" si="1"/>
        <v>1986</v>
      </c>
      <c r="C17" s="38">
        <v>2977992</v>
      </c>
      <c r="D17" s="107">
        <f>'6.4'!D17</f>
        <v>2.617</v>
      </c>
      <c r="E17" s="31">
        <f t="shared" si="0"/>
        <v>7793405.0640000002</v>
      </c>
      <c r="F17" s="38">
        <v>189449</v>
      </c>
      <c r="G17" s="23">
        <f t="shared" ref="G17:G47" si="2">ROUND(F17/E17,3)</f>
        <v>2.4E-2</v>
      </c>
      <c r="J17" s="2"/>
    </row>
    <row r="18" spans="1:10" x14ac:dyDescent="0.2">
      <c r="A18" t="str">
        <f t="shared" si="1"/>
        <v>1987</v>
      </c>
      <c r="C18" s="38">
        <v>3639667</v>
      </c>
      <c r="D18" s="107">
        <f>'6.4'!D18</f>
        <v>2.617</v>
      </c>
      <c r="E18" s="31">
        <f t="shared" si="0"/>
        <v>9525008.5390000008</v>
      </c>
      <c r="F18" s="38">
        <v>335212</v>
      </c>
      <c r="G18" s="23">
        <f t="shared" si="2"/>
        <v>3.5000000000000003E-2</v>
      </c>
      <c r="J18" s="2"/>
    </row>
    <row r="19" spans="1:10" x14ac:dyDescent="0.2">
      <c r="A19" t="str">
        <f t="shared" si="1"/>
        <v>1988</v>
      </c>
      <c r="C19" s="229">
        <v>3971251</v>
      </c>
      <c r="D19" s="107">
        <f>'6.4'!D19</f>
        <v>2.617</v>
      </c>
      <c r="E19" s="31">
        <f t="shared" si="0"/>
        <v>10392763.867000001</v>
      </c>
      <c r="F19" s="229">
        <v>626491</v>
      </c>
      <c r="G19" s="23">
        <f t="shared" si="2"/>
        <v>0.06</v>
      </c>
      <c r="J19" s="2"/>
    </row>
    <row r="20" spans="1:10" x14ac:dyDescent="0.2">
      <c r="A20" t="str">
        <f t="shared" si="1"/>
        <v>1989</v>
      </c>
      <c r="C20" s="229">
        <v>3702536</v>
      </c>
      <c r="D20" s="107">
        <f>'6.4'!D20</f>
        <v>2.617</v>
      </c>
      <c r="E20" s="31">
        <f t="shared" si="0"/>
        <v>9689536.7119999994</v>
      </c>
      <c r="F20" s="229">
        <v>550215</v>
      </c>
      <c r="G20" s="23">
        <f t="shared" si="2"/>
        <v>5.7000000000000002E-2</v>
      </c>
      <c r="J20" s="2"/>
    </row>
    <row r="21" spans="1:10" x14ac:dyDescent="0.2">
      <c r="A21" t="str">
        <f t="shared" si="1"/>
        <v>1990</v>
      </c>
      <c r="C21" s="229">
        <v>3519306</v>
      </c>
      <c r="D21" s="107">
        <f>'6.4'!D21</f>
        <v>2.617</v>
      </c>
      <c r="E21" s="31">
        <f t="shared" si="0"/>
        <v>9210023.8019999992</v>
      </c>
      <c r="F21" s="229">
        <v>955271</v>
      </c>
      <c r="G21" s="23">
        <f>ROUND(F21/E21,3)</f>
        <v>0.104</v>
      </c>
      <c r="J21" s="2"/>
    </row>
    <row r="22" spans="1:10" x14ac:dyDescent="0.2">
      <c r="A22" t="str">
        <f t="shared" si="1"/>
        <v>1991</v>
      </c>
      <c r="C22" s="106">
        <f>ROUND('[2]TICO 2'!$P33,0)</f>
        <v>4065190</v>
      </c>
      <c r="D22" s="107">
        <f>'6.4'!D22</f>
        <v>2.617</v>
      </c>
      <c r="E22" s="31">
        <f t="shared" si="0"/>
        <v>10638602.23</v>
      </c>
      <c r="F22" s="106">
        <f>ROUND('[2]TICO 2'!$V33,0)</f>
        <v>1367254</v>
      </c>
      <c r="G22" s="23">
        <f t="shared" si="2"/>
        <v>0.129</v>
      </c>
      <c r="J22" s="2"/>
    </row>
    <row r="23" spans="1:10" x14ac:dyDescent="0.2">
      <c r="A23" t="str">
        <f t="shared" si="1"/>
        <v>1992</v>
      </c>
      <c r="B23" s="22"/>
      <c r="C23" s="106">
        <f>ROUND('[2]TICO 2'!$P33,0)</f>
        <v>4065190</v>
      </c>
      <c r="D23" s="107">
        <f>'6.4'!D23</f>
        <v>2.617</v>
      </c>
      <c r="E23" s="31">
        <f t="shared" si="0"/>
        <v>10638602.23</v>
      </c>
      <c r="F23" s="106">
        <f>ROUND('[2]TICO 2'!$V34,0)</f>
        <v>1170578</v>
      </c>
      <c r="G23" s="23">
        <f t="shared" si="2"/>
        <v>0.11</v>
      </c>
      <c r="J23" s="2"/>
    </row>
    <row r="24" spans="1:10" x14ac:dyDescent="0.2">
      <c r="A24" t="str">
        <f t="shared" si="1"/>
        <v>1993</v>
      </c>
      <c r="B24" s="22"/>
      <c r="C24" s="106">
        <f>ROUND('[2]TICO 2'!$P34,0)</f>
        <v>3907712</v>
      </c>
      <c r="D24" s="107">
        <f>'6.4'!D24</f>
        <v>2.617</v>
      </c>
      <c r="E24" s="31">
        <f t="shared" si="0"/>
        <v>10226482.304</v>
      </c>
      <c r="F24" s="106">
        <f>ROUND('[2]TICO 2'!$V35,0)</f>
        <v>1312776</v>
      </c>
      <c r="G24" s="23">
        <f t="shared" si="2"/>
        <v>0.128</v>
      </c>
      <c r="J24" s="2"/>
    </row>
    <row r="25" spans="1:10" x14ac:dyDescent="0.2">
      <c r="A25" t="str">
        <f t="shared" si="1"/>
        <v>1994</v>
      </c>
      <c r="B25" s="22"/>
      <c r="C25" s="106">
        <f>ROUND('[2]TICO 2'!$P35,0)</f>
        <v>4552395</v>
      </c>
      <c r="D25" s="107">
        <f>'6.4'!D25</f>
        <v>2.617</v>
      </c>
      <c r="E25" s="31">
        <f t="shared" si="0"/>
        <v>11913617.715</v>
      </c>
      <c r="F25" s="106">
        <f>ROUND('[2]TICO 2'!$V36,0)</f>
        <v>856369</v>
      </c>
      <c r="G25" s="23">
        <f t="shared" si="2"/>
        <v>7.1999999999999995E-2</v>
      </c>
      <c r="J25" s="2"/>
    </row>
    <row r="26" spans="1:10" x14ac:dyDescent="0.2">
      <c r="A26" t="str">
        <f t="shared" si="1"/>
        <v>1995</v>
      </c>
      <c r="C26" s="106">
        <f>ROUND('[2]TICO 2'!$P36,0)</f>
        <v>5710806</v>
      </c>
      <c r="D26" s="107">
        <f>'6.4'!D26</f>
        <v>2.617</v>
      </c>
      <c r="E26" s="31">
        <f t="shared" si="0"/>
        <v>14945179.301999999</v>
      </c>
      <c r="F26" s="106">
        <f>ROUND('[2]TICO 2'!$V37,0)</f>
        <v>1552987</v>
      </c>
      <c r="G26" s="23">
        <f t="shared" si="2"/>
        <v>0.104</v>
      </c>
      <c r="J26" s="2"/>
    </row>
    <row r="27" spans="1:10" x14ac:dyDescent="0.2">
      <c r="A27" t="str">
        <f t="shared" si="1"/>
        <v>1996</v>
      </c>
      <c r="C27" s="106">
        <f>ROUND('[2]TICO 2'!$P37,0)</f>
        <v>6908552</v>
      </c>
      <c r="D27" s="107">
        <f>'6.4'!D27</f>
        <v>2.617</v>
      </c>
      <c r="E27" s="31">
        <f t="shared" si="0"/>
        <v>18079680.583999999</v>
      </c>
      <c r="F27" s="106">
        <f>ROUND('[2]TICO 2'!$V38,0)</f>
        <v>1061115</v>
      </c>
      <c r="G27" s="23">
        <f t="shared" si="2"/>
        <v>5.8999999999999997E-2</v>
      </c>
      <c r="J27" s="2"/>
    </row>
    <row r="28" spans="1:10" x14ac:dyDescent="0.2">
      <c r="A28" t="str">
        <f t="shared" si="1"/>
        <v>1997</v>
      </c>
      <c r="C28" s="106">
        <f>ROUND('[2]TICO 2'!$P38,0)</f>
        <v>8568168</v>
      </c>
      <c r="D28" s="107">
        <f>'6.4'!D28</f>
        <v>2.617</v>
      </c>
      <c r="E28" s="31">
        <f t="shared" si="0"/>
        <v>22422895.655999999</v>
      </c>
      <c r="F28" s="106">
        <f>ROUND('[2]TICO 2'!$V39,0)</f>
        <v>882561</v>
      </c>
      <c r="G28" s="23">
        <f t="shared" si="2"/>
        <v>3.9E-2</v>
      </c>
      <c r="J28" s="2"/>
    </row>
    <row r="29" spans="1:10" x14ac:dyDescent="0.2">
      <c r="A29" t="str">
        <f t="shared" si="1"/>
        <v>1998</v>
      </c>
      <c r="C29" s="106">
        <f>ROUND('[2]TICO 2'!$P39,0)</f>
        <v>8425344</v>
      </c>
      <c r="D29" s="107">
        <f>'6.4'!D29</f>
        <v>2.617</v>
      </c>
      <c r="E29" s="31">
        <f t="shared" si="0"/>
        <v>22049125.248</v>
      </c>
      <c r="F29" s="106">
        <f>ROUND('[2]TICO 2'!$V40,0)</f>
        <v>2289890</v>
      </c>
      <c r="G29" s="23">
        <f t="shared" si="2"/>
        <v>0.104</v>
      </c>
      <c r="J29" s="2"/>
    </row>
    <row r="30" spans="1:10" x14ac:dyDescent="0.2">
      <c r="A30" t="str">
        <f t="shared" si="1"/>
        <v>1999</v>
      </c>
      <c r="C30" s="106">
        <f>ROUND('[2]TICO 2'!$P40,0)</f>
        <v>8803621</v>
      </c>
      <c r="D30" s="107">
        <f>'6.4'!D30</f>
        <v>2.5930861368146725</v>
      </c>
      <c r="E30" s="31">
        <f t="shared" si="0"/>
        <v>22828547.568870522</v>
      </c>
      <c r="F30" s="106">
        <f>ROUND('[2]TICO 2'!$V41,0)</f>
        <v>3778386</v>
      </c>
      <c r="G30" s="23">
        <f t="shared" si="2"/>
        <v>0.16600000000000001</v>
      </c>
      <c r="J30" s="2"/>
    </row>
    <row r="31" spans="1:10" x14ac:dyDescent="0.2">
      <c r="A31" t="str">
        <f t="shared" si="1"/>
        <v>2000</v>
      </c>
      <c r="C31" s="106">
        <f>ROUND('[2]TICO 2'!$P41,0)</f>
        <v>8465256</v>
      </c>
      <c r="D31" s="107">
        <f>'6.4'!D31</f>
        <v>2.3855438241165343</v>
      </c>
      <c r="E31" s="31">
        <f t="shared" si="0"/>
        <v>20194239.170365438</v>
      </c>
      <c r="F31" s="106">
        <f>ROUND('[2]TICO 2'!$V42,0)</f>
        <v>485581</v>
      </c>
      <c r="G31" s="23">
        <f t="shared" si="2"/>
        <v>2.4E-2</v>
      </c>
      <c r="J31" s="2"/>
    </row>
    <row r="32" spans="1:10" x14ac:dyDescent="0.2">
      <c r="A32" t="str">
        <f t="shared" si="1"/>
        <v>2001</v>
      </c>
      <c r="C32" s="106">
        <f>ROUND('[2]TICO 2'!$P42,0)</f>
        <v>8437094</v>
      </c>
      <c r="D32" s="107">
        <f>'6.4'!D32</f>
        <v>2.0131171511531933</v>
      </c>
      <c r="E32" s="31">
        <f t="shared" si="0"/>
        <v>16984858.6372917</v>
      </c>
      <c r="F32" s="106">
        <f>ROUND('[2]TICO 2'!$V43,0)</f>
        <v>1394445</v>
      </c>
      <c r="G32" s="23">
        <f t="shared" si="2"/>
        <v>8.2000000000000003E-2</v>
      </c>
      <c r="J32" s="2"/>
    </row>
    <row r="33" spans="1:10" x14ac:dyDescent="0.2">
      <c r="A33" t="str">
        <f t="shared" si="1"/>
        <v>2002</v>
      </c>
      <c r="C33" s="106">
        <f>ROUND('[2]TICO 2'!$P43,0)</f>
        <v>8894552</v>
      </c>
      <c r="D33" s="107">
        <f>'6.4'!D33</f>
        <v>2.0131171511531933</v>
      </c>
      <c r="E33" s="31">
        <f t="shared" si="0"/>
        <v>17905775.183023937</v>
      </c>
      <c r="F33" s="106">
        <f>ROUND('[2]TICO 2'!$V44,0)</f>
        <v>1227528</v>
      </c>
      <c r="G33" s="23">
        <f t="shared" si="2"/>
        <v>6.9000000000000006E-2</v>
      </c>
      <c r="J33" s="2"/>
    </row>
    <row r="34" spans="1:10" x14ac:dyDescent="0.2">
      <c r="A34" t="str">
        <f t="shared" si="1"/>
        <v>2003</v>
      </c>
      <c r="C34" s="106">
        <f>ROUND('[2]TICO 2'!$P44,0)</f>
        <v>10534795</v>
      </c>
      <c r="D34" s="107">
        <f>'6.4'!D34</f>
        <v>2.0131171511531929</v>
      </c>
      <c r="E34" s="31">
        <f t="shared" si="0"/>
        <v>21207776.4983829</v>
      </c>
      <c r="F34" s="106">
        <f>ROUND('[2]TICO 2'!$V45,0)</f>
        <v>2295803</v>
      </c>
      <c r="G34" s="23">
        <f t="shared" si="2"/>
        <v>0.108</v>
      </c>
      <c r="J34" s="2"/>
    </row>
    <row r="35" spans="1:10" x14ac:dyDescent="0.2">
      <c r="A35" t="str">
        <f t="shared" si="1"/>
        <v>2004</v>
      </c>
      <c r="B35" s="62"/>
      <c r="C35" s="106">
        <f>ROUND('[2]TICO 2'!$P45,0)</f>
        <v>13881847</v>
      </c>
      <c r="D35" s="107">
        <f>'6.4'!D35</f>
        <v>1.9195987469434546</v>
      </c>
      <c r="E35" s="31">
        <f t="shared" si="0"/>
        <v>26647576.106460754</v>
      </c>
      <c r="F35" s="106">
        <f>ROUND('[2]TICO 2'!$V46,0)</f>
        <v>569877</v>
      </c>
      <c r="G35" s="23">
        <f t="shared" si="2"/>
        <v>2.1000000000000001E-2</v>
      </c>
      <c r="J35" s="2"/>
    </row>
    <row r="36" spans="1:10" x14ac:dyDescent="0.2">
      <c r="A36" t="str">
        <f t="shared" si="1"/>
        <v>2005</v>
      </c>
      <c r="C36" s="106">
        <f>ROUND('[2]TICO 2'!$P46,0)</f>
        <v>15458506</v>
      </c>
      <c r="D36" s="107">
        <f>'6.4'!D36</f>
        <v>1.8367857218551029</v>
      </c>
      <c r="E36" s="31">
        <f t="shared" si="0"/>
        <v>28393963.102011438</v>
      </c>
      <c r="F36" s="106">
        <f>ROUND('[2]TICO 2'!$V47,0)</f>
        <v>872451</v>
      </c>
      <c r="G36" s="23">
        <f t="shared" si="2"/>
        <v>3.1E-2</v>
      </c>
      <c r="J36" s="2"/>
    </row>
    <row r="37" spans="1:10" x14ac:dyDescent="0.2">
      <c r="A37" t="str">
        <f t="shared" si="1"/>
        <v>2006</v>
      </c>
      <c r="C37" s="106">
        <f>ROUND('[2]TICO 2'!$P47,0)</f>
        <v>17471646</v>
      </c>
      <c r="D37" s="107">
        <f>'6.4'!D37</f>
        <v>1.8323775762609837</v>
      </c>
      <c r="E37" s="31">
        <f t="shared" si="0"/>
        <v>32014652.350769911</v>
      </c>
      <c r="F37" s="106">
        <f>ROUND('[2]TICO 2'!$V48,0)</f>
        <v>621501</v>
      </c>
      <c r="G37" s="23">
        <f t="shared" si="2"/>
        <v>1.9E-2</v>
      </c>
      <c r="J37" s="2"/>
    </row>
    <row r="38" spans="1:10" x14ac:dyDescent="0.2">
      <c r="A38" s="50" t="str">
        <f t="shared" si="1"/>
        <v>2007</v>
      </c>
      <c r="B38" s="51"/>
      <c r="C38" s="106">
        <f>ROUND('[2]TICO 2'!$P48,0)</f>
        <v>19888512</v>
      </c>
      <c r="D38" s="107">
        <f>'6.4'!D38</f>
        <v>1.7490128310516411</v>
      </c>
      <c r="E38" s="31">
        <f t="shared" si="0"/>
        <v>34785262.678524539</v>
      </c>
      <c r="F38" s="106">
        <f>ROUND('[2]TICO 2'!$V49,0)</f>
        <v>833793</v>
      </c>
      <c r="G38" s="53">
        <f t="shared" si="2"/>
        <v>2.4E-2</v>
      </c>
      <c r="J38" s="2"/>
    </row>
    <row r="39" spans="1:10" x14ac:dyDescent="0.2">
      <c r="A39" s="50" t="str">
        <f t="shared" si="1"/>
        <v>2008</v>
      </c>
      <c r="B39" s="62"/>
      <c r="C39" s="106">
        <f>ROUND('[2]TICO 2'!$P49,0)</f>
        <v>29704042</v>
      </c>
      <c r="D39" s="107">
        <f>'6.4'!D39</f>
        <v>1.6495345789525933</v>
      </c>
      <c r="E39" s="31">
        <f>C39*D39</f>
        <v>48997844.413660146</v>
      </c>
      <c r="F39" s="106">
        <f>ROUND('[2]TICO 2'!$V50,0)</f>
        <v>1468028</v>
      </c>
      <c r="G39" s="53">
        <f t="shared" si="2"/>
        <v>0.03</v>
      </c>
      <c r="J39" s="2"/>
    </row>
    <row r="40" spans="1:10" x14ac:dyDescent="0.2">
      <c r="A40" s="50" t="str">
        <f t="shared" si="1"/>
        <v>2009</v>
      </c>
      <c r="C40" s="106">
        <f>ROUND('[2]TICO 2'!$P50,0)</f>
        <v>40565108</v>
      </c>
      <c r="D40" s="107">
        <f>'6.4'!D40</f>
        <v>1.4987056675771686</v>
      </c>
      <c r="E40" s="31">
        <f t="shared" si="0"/>
        <v>60795157.265479945</v>
      </c>
      <c r="F40" s="106">
        <f>ROUND('[2]TICO 2'!$V51,0)</f>
        <v>615469</v>
      </c>
      <c r="G40" s="53">
        <f t="shared" si="2"/>
        <v>0.01</v>
      </c>
      <c r="J40" s="2"/>
    </row>
    <row r="41" spans="1:10" x14ac:dyDescent="0.2">
      <c r="A41" s="50" t="str">
        <f t="shared" si="1"/>
        <v>2010</v>
      </c>
      <c r="C41" s="106">
        <f>ROUND('[2]TICO 2'!$P51,0)</f>
        <v>46363445</v>
      </c>
      <c r="D41" s="107">
        <f>'6.4'!D41</f>
        <v>1.4074808531397425</v>
      </c>
      <c r="E41" s="31">
        <f t="shared" si="0"/>
        <v>65255661.123097524</v>
      </c>
      <c r="F41" s="106">
        <f>ROUND('[2]TICO 2'!$V52,0)</f>
        <v>4059049</v>
      </c>
      <c r="G41" s="53">
        <f t="shared" si="2"/>
        <v>6.2E-2</v>
      </c>
      <c r="J41" s="2"/>
    </row>
    <row r="42" spans="1:10" x14ac:dyDescent="0.2">
      <c r="A42" s="50" t="str">
        <f t="shared" si="1"/>
        <v>2011</v>
      </c>
      <c r="C42" s="106">
        <f>ROUND('[2]TICO 2'!$P52,0)</f>
        <v>51529115</v>
      </c>
      <c r="D42" s="107">
        <f>'6.4'!D42</f>
        <v>1.3727166755238378</v>
      </c>
      <c r="E42" s="31">
        <f t="shared" si="0"/>
        <v>70734875.435485527</v>
      </c>
      <c r="F42" s="106">
        <f>ROUND('[2]TICO 2'!$V53,0)</f>
        <v>19843778</v>
      </c>
      <c r="G42" s="53">
        <f t="shared" si="2"/>
        <v>0.28100000000000003</v>
      </c>
      <c r="J42" s="2"/>
    </row>
    <row r="43" spans="1:10" s="62" customFormat="1" x14ac:dyDescent="0.2">
      <c r="A43" s="50" t="str">
        <f t="shared" si="1"/>
        <v>2012</v>
      </c>
      <c r="B43" s="50"/>
      <c r="C43" s="106">
        <f>ROUND('[2]TICO 2'!$P53,0)</f>
        <v>52931755</v>
      </c>
      <c r="D43" s="107">
        <f>'6.4'!D43</f>
        <v>1.3073731976777445</v>
      </c>
      <c r="E43" s="31">
        <f t="shared" si="0"/>
        <v>69201557.79304494</v>
      </c>
      <c r="F43" s="106">
        <f>ROUND('[2]TICO 2'!$V54,0)</f>
        <v>21286940</v>
      </c>
      <c r="G43" s="53">
        <f t="shared" si="2"/>
        <v>0.308</v>
      </c>
      <c r="H43"/>
      <c r="I43"/>
      <c r="J43" s="2"/>
    </row>
    <row r="44" spans="1:10" s="62" customFormat="1" x14ac:dyDescent="0.2">
      <c r="A44" s="50" t="str">
        <f t="shared" si="1"/>
        <v>2013</v>
      </c>
      <c r="B44" s="50"/>
      <c r="C44" s="106">
        <f>ROUND('[2]TICO 2'!$P54,0)</f>
        <v>56334273</v>
      </c>
      <c r="D44" s="107">
        <f>'6.4'!D44</f>
        <v>1.2452851041347781</v>
      </c>
      <c r="E44" s="31">
        <f t="shared" si="0"/>
        <v>70152231.019162014</v>
      </c>
      <c r="F44" s="106">
        <f>ROUND('[2]TICO 2'!$V55,0)</f>
        <v>6825640</v>
      </c>
      <c r="G44" s="53">
        <f t="shared" si="2"/>
        <v>9.7000000000000003E-2</v>
      </c>
      <c r="H44"/>
      <c r="I44"/>
      <c r="J44" s="2"/>
    </row>
    <row r="45" spans="1:10" s="62" customFormat="1" x14ac:dyDescent="0.2">
      <c r="A45" s="50" t="str">
        <f t="shared" si="1"/>
        <v>2014</v>
      </c>
      <c r="B45" s="50"/>
      <c r="C45" s="106">
        <f>ROUND('[2]TICO 2'!$P55,0)</f>
        <v>60101696</v>
      </c>
      <c r="D45" s="107">
        <f>'6.4'!D45</f>
        <v>1.1862347753925764</v>
      </c>
      <c r="E45" s="31">
        <f t="shared" si="0"/>
        <v>71294721.855272904</v>
      </c>
      <c r="F45" s="106">
        <f>ROUND('[2]TICO 2'!$V56,0)</f>
        <v>1913725</v>
      </c>
      <c r="G45" s="53">
        <f t="shared" si="2"/>
        <v>2.7E-2</v>
      </c>
      <c r="H45"/>
      <c r="I45"/>
      <c r="J45" s="2"/>
    </row>
    <row r="46" spans="1:10" s="62" customFormat="1" x14ac:dyDescent="0.2">
      <c r="A46" s="50" t="str">
        <f t="shared" si="1"/>
        <v>2015</v>
      </c>
      <c r="B46" s="50"/>
      <c r="C46" s="106">
        <f>ROUND('[2]TICO 2'!$P56,0)</f>
        <v>65642137</v>
      </c>
      <c r="D46" s="107">
        <f>'6.4'!D46</f>
        <v>1.1299661810216541</v>
      </c>
      <c r="E46" s="128">
        <f>C46*D46</f>
        <v>74173394.859990224</v>
      </c>
      <c r="F46" s="106">
        <f>ROUND('[2]TICO 2'!$V57,0)</f>
        <v>9932478</v>
      </c>
      <c r="G46" s="53">
        <f t="shared" si="2"/>
        <v>0.13400000000000001</v>
      </c>
      <c r="H46"/>
      <c r="I46"/>
      <c r="J46" s="2"/>
    </row>
    <row r="47" spans="1:10" x14ac:dyDescent="0.2">
      <c r="A47" s="51">
        <v>2016</v>
      </c>
      <c r="B47" s="50"/>
      <c r="C47" s="106">
        <f>ROUND('[2]TICO 2'!$P57,0)</f>
        <v>72124134</v>
      </c>
      <c r="D47" s="107">
        <f>'6.4'!D47</f>
        <v>1.0765597532120244</v>
      </c>
      <c r="E47" s="128">
        <f>C47*D47</f>
        <v>77645939.899670973</v>
      </c>
      <c r="F47" s="106">
        <f>ROUND('[2]TICO 2'!$V58,0)</f>
        <v>10418298</v>
      </c>
      <c r="G47" s="53">
        <f t="shared" si="2"/>
        <v>0.13400000000000001</v>
      </c>
      <c r="H47" s="50"/>
      <c r="I47" s="50"/>
      <c r="J47" s="2"/>
    </row>
    <row r="48" spans="1:10" s="50" customFormat="1" x14ac:dyDescent="0.2">
      <c r="A48" s="51">
        <v>2017</v>
      </c>
      <c r="C48" s="106">
        <f>ROUND('[2]TICO 2'!$P58,0)</f>
        <v>76436084</v>
      </c>
      <c r="D48" s="107">
        <f>'6.4'!D48</f>
        <v>1.0500000000000014</v>
      </c>
      <c r="E48" s="128">
        <f>C48*D48</f>
        <v>80257888.200000107</v>
      </c>
      <c r="F48" s="106">
        <f>ROUND('[2]TICO 2'!$V59,0)</f>
        <v>259698732</v>
      </c>
      <c r="G48" s="53">
        <f>ROUND(F48/E48,3)</f>
        <v>3.2360000000000002</v>
      </c>
      <c r="J48" s="2"/>
    </row>
    <row r="49" spans="1:12" s="50" customFormat="1" x14ac:dyDescent="0.2">
      <c r="A49" s="26">
        <v>2018</v>
      </c>
      <c r="B49" s="9"/>
      <c r="C49" s="85">
        <f>ROUND('[2]TICO 2'!$P59,0)</f>
        <v>77008517</v>
      </c>
      <c r="D49" s="69">
        <f>'6.4'!D49</f>
        <v>1.0255439472483592</v>
      </c>
      <c r="E49" s="32">
        <f>C49*D49</f>
        <v>78975618.495922372</v>
      </c>
      <c r="F49" s="85">
        <f>ROUND('[2]TICO 2'!$V60,0)</f>
        <v>1542253</v>
      </c>
      <c r="G49" s="89">
        <f>ROUND(F49/E49,3)</f>
        <v>0.02</v>
      </c>
      <c r="J49" s="2"/>
    </row>
    <row r="50" spans="1:12" s="62" customFormat="1" x14ac:dyDescent="0.2">
      <c r="A50" s="50"/>
      <c r="B50" s="50"/>
      <c r="C50" s="106"/>
      <c r="D50" s="225"/>
      <c r="E50" s="128"/>
      <c r="F50" s="106"/>
      <c r="G50" s="53"/>
      <c r="H50"/>
      <c r="I50"/>
      <c r="J50" s="2"/>
    </row>
    <row r="51" spans="1:12" x14ac:dyDescent="0.2">
      <c r="A51" s="62" t="s">
        <v>9</v>
      </c>
      <c r="B51" s="62"/>
      <c r="C51" s="31">
        <f>SUM(C14:C49)</f>
        <v>811060063</v>
      </c>
      <c r="D51" s="31"/>
      <c r="E51" s="31">
        <f>SUM(E14:E49)</f>
        <v>1172903981.2324877</v>
      </c>
      <c r="F51" s="31">
        <f>SUM(F14:F49)</f>
        <v>363927740</v>
      </c>
      <c r="G51" s="23">
        <f>ROUND(F51/E51,3)</f>
        <v>0.31</v>
      </c>
      <c r="J51" s="2"/>
    </row>
    <row r="52" spans="1:12" ht="12" thickBot="1" x14ac:dyDescent="0.25">
      <c r="A52" s="6"/>
      <c r="B52" s="6"/>
      <c r="C52" s="6"/>
      <c r="D52" s="6"/>
      <c r="E52" s="6"/>
      <c r="F52" s="6"/>
      <c r="G52" s="6"/>
      <c r="J52" s="2"/>
      <c r="K52" t="s">
        <v>220</v>
      </c>
      <c r="L52" t="s">
        <v>221</v>
      </c>
    </row>
    <row r="53" spans="1:12" s="62" customFormat="1" ht="12" thickTop="1" x14ac:dyDescent="0.2">
      <c r="A53"/>
      <c r="B53"/>
      <c r="C53"/>
      <c r="D53"/>
      <c r="E53"/>
      <c r="F53"/>
      <c r="G53"/>
      <c r="H53"/>
      <c r="I53"/>
      <c r="J53" s="2"/>
      <c r="K53" s="88">
        <f>'6.4'!K$53</f>
        <v>43373</v>
      </c>
      <c r="L53" s="88">
        <f>'6.4'!L$53</f>
        <v>43465</v>
      </c>
    </row>
    <row r="54" spans="1:12" s="62" customFormat="1" x14ac:dyDescent="0.2">
      <c r="A54" t="s">
        <v>18</v>
      </c>
      <c r="B54"/>
      <c r="C54"/>
      <c r="D54"/>
      <c r="E54"/>
      <c r="F54" s="45"/>
      <c r="G54"/>
      <c r="H54"/>
      <c r="I54"/>
      <c r="J54" s="2"/>
    </row>
    <row r="55" spans="1:12" x14ac:dyDescent="0.2">
      <c r="J55" s="2"/>
    </row>
    <row r="56" spans="1:12" x14ac:dyDescent="0.2">
      <c r="A56" s="22" t="str">
        <f>C12&amp;" Provided by TDI.  Accident years ending "&amp;TEXT($K$53,"m/d/xx")&amp;" as of "&amp;TEXT($L$53,"m/d/yyyy")</f>
        <v>(2) Provided by TDI.  Accident years ending 9/30/xx as of 12/31/2018</v>
      </c>
      <c r="J56" s="2"/>
    </row>
    <row r="57" spans="1:12" x14ac:dyDescent="0.2">
      <c r="A57" s="22" t="str">
        <f>D12&amp;" 1998 and prior judgementally selected; 1999 - 2018 based on TWIA on-level factors"</f>
        <v>(3) 1998 and prior judgementally selected; 1999 - 2018 based on TWIA on-level factors</v>
      </c>
      <c r="J57" s="2"/>
    </row>
    <row r="58" spans="1:12" x14ac:dyDescent="0.2">
      <c r="A58" s="22" t="str">
        <f>E12&amp;" = "&amp;C12&amp;" * "&amp;D12</f>
        <v>(4) = (2) * (3)</v>
      </c>
      <c r="J58" s="2"/>
    </row>
    <row r="59" spans="1:12" x14ac:dyDescent="0.2">
      <c r="A59" s="22" t="str">
        <f>F12&amp;" Provided by TDI. Accidn't yrs ending "&amp;TEXT($K$53,"m/d/xx")&amp;" as of "&amp;TEXT($L$53,"m/d/yyyy")</f>
        <v>(5) Provided by TDI. Accidn't yrs ending 9/30/xx as of 12/31/2018</v>
      </c>
      <c r="J59" s="2"/>
    </row>
    <row r="60" spans="1:12" x14ac:dyDescent="0.2">
      <c r="A60" s="22" t="str">
        <f>G12&amp;" = "&amp;F12&amp;" / "&amp;E12</f>
        <v>(6) = (5) / (4)</v>
      </c>
      <c r="B60" s="25"/>
      <c r="J60" s="2"/>
    </row>
    <row r="61" spans="1:12" ht="12" thickBot="1" x14ac:dyDescent="0.25">
      <c r="B61" s="25"/>
      <c r="C61" s="63"/>
      <c r="D61" s="63"/>
      <c r="E61" s="63"/>
      <c r="F61" s="63"/>
      <c r="G61" s="23"/>
      <c r="J61" s="2"/>
    </row>
    <row r="62" spans="1:12" ht="12" thickBot="1" x14ac:dyDescent="0.25">
      <c r="A62" s="4"/>
      <c r="B62" s="5"/>
      <c r="C62" s="5"/>
      <c r="D62" s="5"/>
      <c r="E62" s="5"/>
      <c r="F62" s="5"/>
      <c r="G62" s="5"/>
      <c r="H62" s="5"/>
      <c r="I62" s="5"/>
      <c r="J6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/>
  <dimension ref="A1:L61"/>
  <sheetViews>
    <sheetView zoomScaleNormal="100" workbookViewId="0">
      <selection activeCell="J30" sqref="J30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1" x14ac:dyDescent="0.2">
      <c r="A1" s="8" t="str">
        <f>'1'!$A$1</f>
        <v>Texas Windstorm Insurance Association</v>
      </c>
      <c r="B1" s="12"/>
      <c r="I1" s="7" t="s">
        <v>107</v>
      </c>
      <c r="J1" s="1"/>
    </row>
    <row r="2" spans="1:11" x14ac:dyDescent="0.2">
      <c r="A2" s="8" t="str">
        <f>'1'!$A$2</f>
        <v>Residential Property - Wind &amp; Hail</v>
      </c>
      <c r="B2" s="12"/>
      <c r="I2" s="7" t="s">
        <v>141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108</v>
      </c>
      <c r="B4" s="12"/>
      <c r="J4" s="2"/>
    </row>
    <row r="5" spans="1:11" x14ac:dyDescent="0.2">
      <c r="A5" t="s">
        <v>48</v>
      </c>
      <c r="B5" s="12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J7" s="2"/>
    </row>
    <row r="8" spans="1:11" ht="12" thickTop="1" x14ac:dyDescent="0.2">
      <c r="J8" s="2"/>
    </row>
    <row r="9" spans="1:11" x14ac:dyDescent="0.2">
      <c r="C9" s="22"/>
      <c r="D9" t="s">
        <v>38</v>
      </c>
      <c r="E9" t="s">
        <v>45</v>
      </c>
      <c r="J9" s="2"/>
      <c r="K9" s="27"/>
    </row>
    <row r="10" spans="1:11" x14ac:dyDescent="0.2">
      <c r="A10" t="s">
        <v>54</v>
      </c>
      <c r="C10" t="s">
        <v>129</v>
      </c>
      <c r="D10" t="s">
        <v>139</v>
      </c>
      <c r="E10" t="s">
        <v>43</v>
      </c>
      <c r="F10" t="s">
        <v>88</v>
      </c>
      <c r="G10" t="s">
        <v>88</v>
      </c>
      <c r="J10" s="2"/>
      <c r="K10" s="22"/>
    </row>
    <row r="11" spans="1:11" x14ac:dyDescent="0.2">
      <c r="A11" s="9" t="s">
        <v>55</v>
      </c>
      <c r="B11" s="9"/>
      <c r="C11" s="9" t="s">
        <v>130</v>
      </c>
      <c r="D11" s="9" t="s">
        <v>140</v>
      </c>
      <c r="E11" s="9" t="s">
        <v>44</v>
      </c>
      <c r="F11" s="9" t="s">
        <v>42</v>
      </c>
      <c r="G11" s="9" t="s">
        <v>79</v>
      </c>
      <c r="J11" s="2"/>
      <c r="K11" s="5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1" x14ac:dyDescent="0.2">
      <c r="J13" s="2"/>
    </row>
    <row r="14" spans="1:11" x14ac:dyDescent="0.2">
      <c r="A14" s="194">
        <v>1983</v>
      </c>
      <c r="C14" s="38">
        <v>5888781</v>
      </c>
      <c r="D14" s="35">
        <f>'6.4'!D14</f>
        <v>2.617</v>
      </c>
      <c r="E14" s="31">
        <f t="shared" ref="E14:E44" si="0">C14*D14</f>
        <v>15410939.877</v>
      </c>
      <c r="F14" s="38">
        <v>21953626</v>
      </c>
      <c r="G14" s="23">
        <f>F14/E14</f>
        <v>1.4245481570377552</v>
      </c>
      <c r="J14" s="2"/>
    </row>
    <row r="15" spans="1:11" x14ac:dyDescent="0.2">
      <c r="A15" t="str">
        <f>TEXT(A14+1,"#")</f>
        <v>1984</v>
      </c>
      <c r="C15" s="38">
        <v>3924651</v>
      </c>
      <c r="D15" s="35">
        <f>'6.4'!D15</f>
        <v>2.617</v>
      </c>
      <c r="E15" s="31">
        <f t="shared" si="0"/>
        <v>10270811.666999999</v>
      </c>
      <c r="F15" s="38">
        <v>2135063</v>
      </c>
      <c r="G15" s="23">
        <f>F15/E15</f>
        <v>0.20787675494624569</v>
      </c>
      <c r="J15" s="2"/>
    </row>
    <row r="16" spans="1:11" x14ac:dyDescent="0.2">
      <c r="A16" t="str">
        <f t="shared" ref="A16:A46" si="1">TEXT(A15+1,"#")</f>
        <v>1985</v>
      </c>
      <c r="C16" s="38">
        <v>5808825</v>
      </c>
      <c r="D16" s="35">
        <f>'6.4'!D16</f>
        <v>2.617</v>
      </c>
      <c r="E16" s="31">
        <f t="shared" si="0"/>
        <v>15201695.025</v>
      </c>
      <c r="F16" s="38">
        <v>1055065</v>
      </c>
      <c r="G16" s="23">
        <f>F16/E16</f>
        <v>6.9404431431158778E-2</v>
      </c>
      <c r="J16" s="2"/>
    </row>
    <row r="17" spans="1:10" x14ac:dyDescent="0.2">
      <c r="A17" t="str">
        <f t="shared" si="1"/>
        <v>1986</v>
      </c>
      <c r="C17" s="38">
        <v>6993722</v>
      </c>
      <c r="D17" s="35">
        <f>'6.4'!D17</f>
        <v>2.617</v>
      </c>
      <c r="E17" s="31">
        <f t="shared" si="0"/>
        <v>18302570.473999999</v>
      </c>
      <c r="F17" s="38">
        <v>3338312</v>
      </c>
      <c r="G17" s="23">
        <f t="shared" ref="G17:G42" si="2">ROUND(F17/E17,3)</f>
        <v>0.182</v>
      </c>
      <c r="J17" s="2"/>
    </row>
    <row r="18" spans="1:10" x14ac:dyDescent="0.2">
      <c r="A18" t="str">
        <f t="shared" si="1"/>
        <v>1987</v>
      </c>
      <c r="C18" s="38">
        <v>7677374</v>
      </c>
      <c r="D18" s="35">
        <f>'6.4'!D18</f>
        <v>2.617</v>
      </c>
      <c r="E18" s="31">
        <f t="shared" si="0"/>
        <v>20091687.758000001</v>
      </c>
      <c r="F18" s="38">
        <v>634637</v>
      </c>
      <c r="G18" s="23">
        <f t="shared" si="2"/>
        <v>3.2000000000000001E-2</v>
      </c>
      <c r="J18" s="2"/>
    </row>
    <row r="19" spans="1:10" x14ac:dyDescent="0.2">
      <c r="A19" t="str">
        <f t="shared" si="1"/>
        <v>1988</v>
      </c>
      <c r="C19" s="229">
        <v>8284768</v>
      </c>
      <c r="D19" s="35">
        <f>'6.4'!D19</f>
        <v>2.617</v>
      </c>
      <c r="E19" s="31">
        <f t="shared" si="0"/>
        <v>21681237.855999999</v>
      </c>
      <c r="F19" s="229">
        <v>3434130</v>
      </c>
      <c r="G19" s="23">
        <f t="shared" si="2"/>
        <v>0.158</v>
      </c>
      <c r="J19" s="2"/>
    </row>
    <row r="20" spans="1:10" x14ac:dyDescent="0.2">
      <c r="A20" t="str">
        <f t="shared" si="1"/>
        <v>1989</v>
      </c>
      <c r="C20" s="229">
        <v>7733295</v>
      </c>
      <c r="D20" s="35">
        <f>'6.4'!D20</f>
        <v>2.617</v>
      </c>
      <c r="E20" s="31">
        <f t="shared" si="0"/>
        <v>20238033.015000001</v>
      </c>
      <c r="F20" s="229">
        <v>1670422</v>
      </c>
      <c r="G20" s="23">
        <f t="shared" si="2"/>
        <v>8.3000000000000004E-2</v>
      </c>
      <c r="J20" s="2"/>
    </row>
    <row r="21" spans="1:10" x14ac:dyDescent="0.2">
      <c r="A21" t="str">
        <f t="shared" si="1"/>
        <v>1990</v>
      </c>
      <c r="C21" s="229">
        <v>7568146</v>
      </c>
      <c r="D21" s="35">
        <f>'6.4'!D21</f>
        <v>2.617</v>
      </c>
      <c r="E21" s="31">
        <f t="shared" si="0"/>
        <v>19805838.081999999</v>
      </c>
      <c r="F21" s="229">
        <v>2095151</v>
      </c>
      <c r="G21" s="23">
        <f t="shared" si="2"/>
        <v>0.106</v>
      </c>
      <c r="J21" s="2"/>
    </row>
    <row r="22" spans="1:10" x14ac:dyDescent="0.2">
      <c r="A22" t="str">
        <f t="shared" si="1"/>
        <v>1991</v>
      </c>
      <c r="C22" s="106">
        <f>ROUND('[2]TICO 2'!$Q33,0)</f>
        <v>8287605</v>
      </c>
      <c r="D22" s="35">
        <f>'6.4'!D22</f>
        <v>2.617</v>
      </c>
      <c r="E22" s="31">
        <f t="shared" si="0"/>
        <v>21688662.285</v>
      </c>
      <c r="F22" s="106">
        <f>ROUND('[2]TICO 2'!$W33,0)</f>
        <v>22444044</v>
      </c>
      <c r="G22" s="23">
        <f t="shared" si="2"/>
        <v>1.0349999999999999</v>
      </c>
      <c r="J22" s="2"/>
    </row>
    <row r="23" spans="1:10" x14ac:dyDescent="0.2">
      <c r="A23" t="str">
        <f t="shared" si="1"/>
        <v>1992</v>
      </c>
      <c r="B23" s="22"/>
      <c r="C23" s="106">
        <f>ROUND('[2]TICO 2'!$Q34,0)</f>
        <v>8059407</v>
      </c>
      <c r="D23" s="35">
        <f>'6.4'!D23</f>
        <v>2.617</v>
      </c>
      <c r="E23" s="31">
        <f t="shared" si="0"/>
        <v>21091468.118999999</v>
      </c>
      <c r="F23" s="106">
        <f>ROUND('[2]TICO 2'!$W34,0)</f>
        <v>1625108</v>
      </c>
      <c r="G23" s="23">
        <f t="shared" si="2"/>
        <v>7.6999999999999999E-2</v>
      </c>
      <c r="J23" s="2"/>
    </row>
    <row r="24" spans="1:10" x14ac:dyDescent="0.2">
      <c r="A24" t="str">
        <f t="shared" si="1"/>
        <v>1993</v>
      </c>
      <c r="B24" s="22"/>
      <c r="C24" s="106">
        <f>ROUND('[2]TICO 2'!$Q35,0)</f>
        <v>8448603</v>
      </c>
      <c r="D24" s="35">
        <f>'6.4'!D24</f>
        <v>2.617</v>
      </c>
      <c r="E24" s="31">
        <f t="shared" si="0"/>
        <v>22109994.050999999</v>
      </c>
      <c r="F24" s="106">
        <f>ROUND('[2]TICO 2'!$W35,0)</f>
        <v>1776572</v>
      </c>
      <c r="G24" s="23">
        <f t="shared" si="2"/>
        <v>0.08</v>
      </c>
      <c r="J24" s="2"/>
    </row>
    <row r="25" spans="1:10" x14ac:dyDescent="0.2">
      <c r="A25" t="str">
        <f t="shared" si="1"/>
        <v>1994</v>
      </c>
      <c r="B25" s="22"/>
      <c r="C25" s="106">
        <f>ROUND('[2]TICO 2'!$Q36,0)</f>
        <v>9743293</v>
      </c>
      <c r="D25" s="35">
        <f>'6.4'!D25</f>
        <v>2.617</v>
      </c>
      <c r="E25" s="31">
        <f t="shared" si="0"/>
        <v>25498197.780999999</v>
      </c>
      <c r="F25" s="106">
        <f>ROUND('[2]TICO 2'!$W36,0)</f>
        <v>1637915</v>
      </c>
      <c r="G25" s="23">
        <f t="shared" si="2"/>
        <v>6.4000000000000001E-2</v>
      </c>
      <c r="J25" s="2"/>
    </row>
    <row r="26" spans="1:10" x14ac:dyDescent="0.2">
      <c r="A26" t="str">
        <f t="shared" si="1"/>
        <v>1995</v>
      </c>
      <c r="C26" s="106">
        <f>ROUND('[2]TICO 2'!$Q37,0)</f>
        <v>10745995</v>
      </c>
      <c r="D26" s="35">
        <f>'6.4'!D26</f>
        <v>2.617</v>
      </c>
      <c r="E26" s="31">
        <f t="shared" si="0"/>
        <v>28122268.914999999</v>
      </c>
      <c r="F26" s="106">
        <f>ROUND('[2]TICO 2'!$W37,0)</f>
        <v>2416675</v>
      </c>
      <c r="G26" s="23">
        <f t="shared" si="2"/>
        <v>8.5999999999999993E-2</v>
      </c>
      <c r="J26" s="2"/>
    </row>
    <row r="27" spans="1:10" x14ac:dyDescent="0.2">
      <c r="A27" t="str">
        <f t="shared" si="1"/>
        <v>1996</v>
      </c>
      <c r="C27" s="106">
        <f>ROUND('[2]TICO 2'!$Q38,0)</f>
        <v>13294968</v>
      </c>
      <c r="D27" s="35">
        <f>'6.4'!D27</f>
        <v>2.617</v>
      </c>
      <c r="E27" s="31">
        <f t="shared" si="0"/>
        <v>34792931.255999997</v>
      </c>
      <c r="F27" s="106">
        <f>ROUND('[2]TICO 2'!$W38,0)</f>
        <v>1520229</v>
      </c>
      <c r="G27" s="23">
        <f t="shared" si="2"/>
        <v>4.3999999999999997E-2</v>
      </c>
      <c r="J27" s="2"/>
    </row>
    <row r="28" spans="1:10" x14ac:dyDescent="0.2">
      <c r="A28" t="str">
        <f t="shared" si="1"/>
        <v>1997</v>
      </c>
      <c r="C28" s="106">
        <f>ROUND('[2]TICO 2'!$Q39,0)</f>
        <v>15708220</v>
      </c>
      <c r="D28" s="35">
        <f>'6.4'!D28</f>
        <v>2.617</v>
      </c>
      <c r="E28" s="31">
        <f t="shared" si="0"/>
        <v>41108411.740000002</v>
      </c>
      <c r="F28" s="106">
        <f>ROUND('[2]TICO 2'!$W39,0)</f>
        <v>2569544</v>
      </c>
      <c r="G28" s="23">
        <f t="shared" si="2"/>
        <v>6.3E-2</v>
      </c>
      <c r="J28" s="2"/>
    </row>
    <row r="29" spans="1:10" x14ac:dyDescent="0.2">
      <c r="A29" t="str">
        <f t="shared" si="1"/>
        <v>1998</v>
      </c>
      <c r="C29" s="106">
        <f>ROUND('[2]TICO 2'!$Q40,0)</f>
        <v>16168136</v>
      </c>
      <c r="D29" s="35">
        <f>'6.4'!D29</f>
        <v>2.617</v>
      </c>
      <c r="E29" s="31">
        <f t="shared" si="0"/>
        <v>42312011.912</v>
      </c>
      <c r="F29" s="106">
        <f>ROUND('[2]TICO 2'!$W40,0)</f>
        <v>10312506</v>
      </c>
      <c r="G29" s="23">
        <f t="shared" si="2"/>
        <v>0.24399999999999999</v>
      </c>
      <c r="J29" s="2"/>
    </row>
    <row r="30" spans="1:10" x14ac:dyDescent="0.2">
      <c r="A30" t="str">
        <f t="shared" si="1"/>
        <v>1999</v>
      </c>
      <c r="C30" s="106">
        <f>ROUND('[2]TICO 2'!$Q41,0)</f>
        <v>14452667</v>
      </c>
      <c r="D30" s="35">
        <f>'6.4'!D30</f>
        <v>2.5930861368146725</v>
      </c>
      <c r="E30" s="31">
        <f t="shared" si="0"/>
        <v>37477010.437698901</v>
      </c>
      <c r="F30" s="106">
        <f>ROUND('[2]TICO 2'!$W41,0)</f>
        <v>3655754</v>
      </c>
      <c r="G30" s="23">
        <f t="shared" si="2"/>
        <v>9.8000000000000004E-2</v>
      </c>
      <c r="J30" s="2"/>
    </row>
    <row r="31" spans="1:10" x14ac:dyDescent="0.2">
      <c r="A31" t="str">
        <f t="shared" si="1"/>
        <v>2000</v>
      </c>
      <c r="C31" s="106">
        <f>ROUND('[2]TICO 2'!$Q42,0)</f>
        <v>14453385</v>
      </c>
      <c r="D31" s="35">
        <f>'6.4'!D31</f>
        <v>2.3855438241165343</v>
      </c>
      <c r="E31" s="31">
        <f t="shared" si="0"/>
        <v>34479183.324328557</v>
      </c>
      <c r="F31" s="106">
        <f>ROUND('[2]TICO 2'!$W42,0)</f>
        <v>3332580</v>
      </c>
      <c r="G31" s="23">
        <f t="shared" si="2"/>
        <v>9.7000000000000003E-2</v>
      </c>
      <c r="J31" s="2"/>
    </row>
    <row r="32" spans="1:10" x14ac:dyDescent="0.2">
      <c r="A32" t="str">
        <f t="shared" si="1"/>
        <v>2001</v>
      </c>
      <c r="C32" s="106">
        <f>ROUND('[2]TICO 2'!$Q43,0)</f>
        <v>15173521</v>
      </c>
      <c r="D32" s="35">
        <f>'6.4'!D32</f>
        <v>2.0131171511531933</v>
      </c>
      <c r="E32" s="31">
        <f t="shared" si="0"/>
        <v>30546075.368483152</v>
      </c>
      <c r="F32" s="106">
        <f>ROUND('[2]TICO 2'!$W43,0)</f>
        <v>2426814</v>
      </c>
      <c r="G32" s="23">
        <f t="shared" si="2"/>
        <v>7.9000000000000001E-2</v>
      </c>
      <c r="J32" s="2"/>
    </row>
    <row r="33" spans="1:10" x14ac:dyDescent="0.2">
      <c r="A33" t="str">
        <f t="shared" si="1"/>
        <v>2002</v>
      </c>
      <c r="C33" s="106">
        <f>ROUND('[2]TICO 2'!$Q44,0)</f>
        <v>17843905</v>
      </c>
      <c r="D33" s="35">
        <f>'6.4'!D33</f>
        <v>2.0131171511531933</v>
      </c>
      <c r="E33" s="31">
        <f t="shared" si="0"/>
        <v>35921871.199048221</v>
      </c>
      <c r="F33" s="106">
        <f>ROUND('[2]TICO 2'!$W44,0)</f>
        <v>5925066</v>
      </c>
      <c r="G33" s="23">
        <f t="shared" si="2"/>
        <v>0.16500000000000001</v>
      </c>
      <c r="J33" s="2"/>
    </row>
    <row r="34" spans="1:10" x14ac:dyDescent="0.2">
      <c r="A34" t="str">
        <f t="shared" si="1"/>
        <v>2003</v>
      </c>
      <c r="C34" s="106">
        <f>ROUND('[2]TICO 2'!$Q45,0)</f>
        <v>23423208</v>
      </c>
      <c r="D34" s="35">
        <f>'6.4'!D34</f>
        <v>2.0131171511531929</v>
      </c>
      <c r="E34" s="31">
        <f t="shared" si="0"/>
        <v>47153661.759828679</v>
      </c>
      <c r="F34" s="106">
        <f>ROUND('[2]TICO 2'!$W45,0)</f>
        <v>17213668</v>
      </c>
      <c r="G34" s="23">
        <f t="shared" si="2"/>
        <v>0.36499999999999999</v>
      </c>
      <c r="J34" s="2"/>
    </row>
    <row r="35" spans="1:10" x14ac:dyDescent="0.2">
      <c r="A35" t="str">
        <f t="shared" si="1"/>
        <v>2004</v>
      </c>
      <c r="B35" s="62"/>
      <c r="C35" s="106">
        <f>ROUND('[2]TICO 2'!$Q46,0)</f>
        <v>27306202</v>
      </c>
      <c r="D35" s="35">
        <f>'6.4'!D35</f>
        <v>1.9195987469434546</v>
      </c>
      <c r="E35" s="31">
        <f t="shared" si="0"/>
        <v>52416951.142984852</v>
      </c>
      <c r="F35" s="106">
        <f>ROUND('[2]TICO 2'!$W46,0)</f>
        <v>990613</v>
      </c>
      <c r="G35" s="23">
        <f t="shared" si="2"/>
        <v>1.9E-2</v>
      </c>
      <c r="J35" s="2"/>
    </row>
    <row r="36" spans="1:10" x14ac:dyDescent="0.2">
      <c r="A36" t="str">
        <f t="shared" si="1"/>
        <v>2005</v>
      </c>
      <c r="C36" s="106">
        <f>ROUND('[2]TICO 2'!$Q47,0)</f>
        <v>31012304</v>
      </c>
      <c r="D36" s="35">
        <f>'6.4'!D36</f>
        <v>1.8367857218551029</v>
      </c>
      <c r="E36" s="31">
        <f t="shared" si="0"/>
        <v>56962957.189029895</v>
      </c>
      <c r="F36" s="106">
        <f>ROUND('[2]TICO 2'!$W47,0)</f>
        <v>115989785</v>
      </c>
      <c r="G36" s="23">
        <f t="shared" si="2"/>
        <v>2.036</v>
      </c>
      <c r="J36" s="2"/>
    </row>
    <row r="37" spans="1:10" x14ac:dyDescent="0.2">
      <c r="A37" t="str">
        <f t="shared" si="1"/>
        <v>2006</v>
      </c>
      <c r="C37" s="106">
        <f>ROUND('[2]TICO 2'!$Q48,0)</f>
        <v>36545725</v>
      </c>
      <c r="D37" s="35">
        <f>'6.4'!D37</f>
        <v>1.8323775762609837</v>
      </c>
      <c r="E37" s="31">
        <f>C37*D37</f>
        <v>66965566.998200439</v>
      </c>
      <c r="F37" s="106">
        <f>ROUND('[2]TICO 2'!$W48,0)</f>
        <v>1842548</v>
      </c>
      <c r="G37" s="23">
        <f t="shared" si="2"/>
        <v>2.8000000000000001E-2</v>
      </c>
      <c r="J37" s="2"/>
    </row>
    <row r="38" spans="1:10" x14ac:dyDescent="0.2">
      <c r="A38" s="50" t="str">
        <f t="shared" si="1"/>
        <v>2007</v>
      </c>
      <c r="B38" s="50"/>
      <c r="C38" s="106">
        <f>ROUND('[2]TICO 2'!$Q49,0)</f>
        <v>69945120</v>
      </c>
      <c r="D38" s="35">
        <f>'6.4'!D38</f>
        <v>1.7490128310516411</v>
      </c>
      <c r="E38" s="31">
        <f t="shared" si="0"/>
        <v>122334912.34944676</v>
      </c>
      <c r="F38" s="106">
        <f>ROUND('[2]TICO 2'!$W49,0)</f>
        <v>10105722</v>
      </c>
      <c r="G38" s="53">
        <f t="shared" si="2"/>
        <v>8.3000000000000004E-2</v>
      </c>
      <c r="J38" s="2"/>
    </row>
    <row r="39" spans="1:10" x14ac:dyDescent="0.2">
      <c r="A39" s="50" t="str">
        <f t="shared" si="1"/>
        <v>2008</v>
      </c>
      <c r="B39" s="62"/>
      <c r="C39" s="106">
        <f>ROUND('[2]TICO 2'!$Q50,0)</f>
        <v>110187567</v>
      </c>
      <c r="D39" s="35">
        <f>'6.4'!D39</f>
        <v>1.6495345789525933</v>
      </c>
      <c r="E39" s="31">
        <f t="shared" si="0"/>
        <v>181758201.93715566</v>
      </c>
      <c r="F39" s="106">
        <f>ROUND('[2]TICO 2'!$W50,0)</f>
        <v>694640836</v>
      </c>
      <c r="G39" s="53">
        <f t="shared" si="2"/>
        <v>3.8220000000000001</v>
      </c>
      <c r="J39" s="2"/>
    </row>
    <row r="40" spans="1:10" s="62" customFormat="1" x14ac:dyDescent="0.2">
      <c r="A40" s="50" t="str">
        <f t="shared" si="1"/>
        <v>2009</v>
      </c>
      <c r="B40" s="45"/>
      <c r="C40" s="106">
        <f>ROUND('[2]TICO 2'!$Q51,0)</f>
        <v>128275387</v>
      </c>
      <c r="D40" s="35">
        <f>'6.4'!D40</f>
        <v>1.4987056675771686</v>
      </c>
      <c r="E40" s="31">
        <f t="shared" si="0"/>
        <v>192247049.50755465</v>
      </c>
      <c r="F40" s="106">
        <f>ROUND('[2]TICO 2'!$W51,0)</f>
        <v>2522159</v>
      </c>
      <c r="G40" s="53">
        <f t="shared" si="2"/>
        <v>1.2999999999999999E-2</v>
      </c>
      <c r="H40"/>
      <c r="I40"/>
      <c r="J40" s="2"/>
    </row>
    <row r="41" spans="1:10" x14ac:dyDescent="0.2">
      <c r="A41" s="50" t="str">
        <f t="shared" si="1"/>
        <v>2010</v>
      </c>
      <c r="B41" s="45"/>
      <c r="C41" s="106">
        <f>ROUND('[2]TICO 2'!$Q52,0)</f>
        <v>143236007</v>
      </c>
      <c r="D41" s="35">
        <f>'6.4'!D41</f>
        <v>1.4074808531397425</v>
      </c>
      <c r="E41" s="31">
        <f t="shared" si="0"/>
        <v>201601937.33269012</v>
      </c>
      <c r="F41" s="106">
        <f>ROUND('[2]TICO 2'!$W52,0)</f>
        <v>9656553</v>
      </c>
      <c r="G41" s="53">
        <f t="shared" si="2"/>
        <v>4.8000000000000001E-2</v>
      </c>
      <c r="J41" s="2"/>
    </row>
    <row r="42" spans="1:10" x14ac:dyDescent="0.2">
      <c r="A42" s="50" t="str">
        <f t="shared" si="1"/>
        <v>2011</v>
      </c>
      <c r="B42" s="45"/>
      <c r="C42" s="106">
        <f>ROUND('[2]TICO 2'!$Q53,0)</f>
        <v>151387931</v>
      </c>
      <c r="D42" s="35">
        <f>'6.4'!D42</f>
        <v>1.3727166755238378</v>
      </c>
      <c r="E42" s="31">
        <f t="shared" si="0"/>
        <v>207812737.35675216</v>
      </c>
      <c r="F42" s="106">
        <f>ROUND('[2]TICO 2'!$W53,0)</f>
        <v>59069922</v>
      </c>
      <c r="G42" s="53">
        <f t="shared" si="2"/>
        <v>0.28399999999999997</v>
      </c>
      <c r="J42" s="2"/>
    </row>
    <row r="43" spans="1:10" s="62" customFormat="1" x14ac:dyDescent="0.2">
      <c r="A43" s="50" t="str">
        <f t="shared" si="1"/>
        <v>2012</v>
      </c>
      <c r="B43" s="45"/>
      <c r="C43" s="106">
        <f>ROUND('[2]TICO 2'!$Q54,0)</f>
        <v>170159709</v>
      </c>
      <c r="D43" s="35">
        <f>'6.4'!D43</f>
        <v>1.3073731976777445</v>
      </c>
      <c r="E43" s="31">
        <f t="shared" si="0"/>
        <v>222462242.87124449</v>
      </c>
      <c r="F43" s="106">
        <f>ROUND('[2]TICO 2'!$W54,0)</f>
        <v>21172040</v>
      </c>
      <c r="G43" s="53">
        <f t="shared" ref="G43:G49" si="3">ROUND(F43/E43,3)</f>
        <v>9.5000000000000001E-2</v>
      </c>
      <c r="H43"/>
      <c r="I43"/>
      <c r="J43" s="2"/>
    </row>
    <row r="44" spans="1:10" s="62" customFormat="1" x14ac:dyDescent="0.2">
      <c r="A44" s="50" t="str">
        <f t="shared" si="1"/>
        <v>2013</v>
      </c>
      <c r="B44" s="45"/>
      <c r="C44" s="106">
        <f>ROUND('[2]TICO 2'!$Q55,0)</f>
        <v>183495510</v>
      </c>
      <c r="D44" s="35">
        <f>'6.4'!D44</f>
        <v>1.2452851041347781</v>
      </c>
      <c r="E44" s="31">
        <f t="shared" si="0"/>
        <v>228504225.27861422</v>
      </c>
      <c r="F44" s="106">
        <f>ROUND('[2]TICO 2'!$W55,0)</f>
        <v>6488552</v>
      </c>
      <c r="G44" s="53">
        <f t="shared" si="3"/>
        <v>2.8000000000000001E-2</v>
      </c>
      <c r="H44"/>
      <c r="I44"/>
      <c r="J44" s="2"/>
    </row>
    <row r="45" spans="1:10" s="62" customFormat="1" x14ac:dyDescent="0.2">
      <c r="A45" s="50" t="str">
        <f t="shared" si="1"/>
        <v>2014</v>
      </c>
      <c r="B45" s="45"/>
      <c r="C45" s="106">
        <f>ROUND('[2]TICO 2'!$Q56,0)</f>
        <v>197640983</v>
      </c>
      <c r="D45" s="35">
        <f>'6.4'!D45</f>
        <v>1.1862347753925764</v>
      </c>
      <c r="E45" s="128">
        <f>C45*D45</f>
        <v>234448607.077373</v>
      </c>
      <c r="F45" s="106">
        <f>ROUND('[2]TICO 2'!$W56,0)</f>
        <v>7195229</v>
      </c>
      <c r="G45" s="53">
        <f t="shared" si="3"/>
        <v>3.1E-2</v>
      </c>
      <c r="H45"/>
      <c r="I45"/>
      <c r="J45" s="2"/>
    </row>
    <row r="46" spans="1:10" s="62" customFormat="1" x14ac:dyDescent="0.2">
      <c r="A46" s="50" t="str">
        <f t="shared" si="1"/>
        <v>2015</v>
      </c>
      <c r="B46" s="45"/>
      <c r="C46" s="106">
        <f>ROUND('[2]TICO 2'!$Q57,0)</f>
        <v>212320998</v>
      </c>
      <c r="D46" s="35">
        <f>'6.4'!D46</f>
        <v>1.1299661810216541</v>
      </c>
      <c r="E46" s="128">
        <f>C46*D46</f>
        <v>239915547.26076627</v>
      </c>
      <c r="F46" s="106">
        <f>ROUND('[2]TICO 2'!$W57,0)</f>
        <v>89893014</v>
      </c>
      <c r="G46" s="53">
        <f t="shared" si="3"/>
        <v>0.375</v>
      </c>
      <c r="H46"/>
      <c r="I46"/>
      <c r="J46" s="2"/>
    </row>
    <row r="47" spans="1:10" x14ac:dyDescent="0.2">
      <c r="A47" s="51">
        <v>2016</v>
      </c>
      <c r="B47" s="45"/>
      <c r="C47" s="106">
        <f>ROUND('[2]TICO 2'!$Q58,0)</f>
        <v>218795204</v>
      </c>
      <c r="D47" s="35">
        <f>'6.4'!D47</f>
        <v>1.0765597532120244</v>
      </c>
      <c r="E47" s="128">
        <f>C47*D47</f>
        <v>235546110.82221451</v>
      </c>
      <c r="F47" s="106">
        <f>ROUND('[2]TICO 2'!$W58,0)</f>
        <v>14998519</v>
      </c>
      <c r="G47" s="53">
        <f t="shared" si="3"/>
        <v>6.4000000000000001E-2</v>
      </c>
      <c r="J47" s="2"/>
    </row>
    <row r="48" spans="1:10" s="50" customFormat="1" x14ac:dyDescent="0.2">
      <c r="A48" s="51">
        <v>2017</v>
      </c>
      <c r="B48" s="45"/>
      <c r="C48" s="106">
        <f>ROUND('[2]TICO 2'!$Q59,0)</f>
        <v>212533686</v>
      </c>
      <c r="D48" s="107">
        <f>'6.4'!D48</f>
        <v>1.0500000000000014</v>
      </c>
      <c r="E48" s="128">
        <f>C48*D48</f>
        <v>223160370.30000028</v>
      </c>
      <c r="F48" s="106">
        <f>ROUND('[2]TICO 2'!$W59,0)</f>
        <v>676342414</v>
      </c>
      <c r="G48" s="53">
        <f t="shared" si="3"/>
        <v>3.0310000000000001</v>
      </c>
      <c r="J48" s="2"/>
    </row>
    <row r="49" spans="1:12" s="50" customFormat="1" x14ac:dyDescent="0.2">
      <c r="A49" s="26">
        <v>2018</v>
      </c>
      <c r="B49" s="190"/>
      <c r="C49" s="85">
        <f>ROUND('[2]TICO 2'!$Q60,0)</f>
        <v>201512669</v>
      </c>
      <c r="D49" s="69">
        <f>'6.4'!D49</f>
        <v>1.0255439472483592</v>
      </c>
      <c r="E49" s="32">
        <f>C49*D49</f>
        <v>206660097.98681206</v>
      </c>
      <c r="F49" s="85">
        <f>ROUND('[2]TICO 2'!$W60,0)</f>
        <v>8373757</v>
      </c>
      <c r="G49" s="89">
        <f t="shared" si="3"/>
        <v>4.1000000000000002E-2</v>
      </c>
      <c r="J49" s="2"/>
    </row>
    <row r="50" spans="1:12" s="62" customFormat="1" x14ac:dyDescent="0.2">
      <c r="H50"/>
      <c r="I50"/>
      <c r="J50" s="2"/>
    </row>
    <row r="51" spans="1:12" x14ac:dyDescent="0.2">
      <c r="A51" s="62" t="s">
        <v>9</v>
      </c>
      <c r="B51" s="62"/>
      <c r="C51" s="31">
        <f>SUM(C14:C49)</f>
        <v>2324037477</v>
      </c>
      <c r="D51" s="31"/>
      <c r="E51" s="31">
        <f>SUM(E14:E49)</f>
        <v>3236102077.3132267</v>
      </c>
      <c r="F51" s="31">
        <f>SUM(F14:F49)</f>
        <v>1832454544</v>
      </c>
      <c r="G51" s="23">
        <f>ROUND(F51/E51,3)</f>
        <v>0.56599999999999995</v>
      </c>
      <c r="J51" s="2"/>
    </row>
    <row r="52" spans="1:12" ht="12" thickBot="1" x14ac:dyDescent="0.25">
      <c r="A52" s="6"/>
      <c r="B52" s="6"/>
      <c r="C52" s="6"/>
      <c r="D52" s="6"/>
      <c r="E52" s="6"/>
      <c r="F52" s="6"/>
      <c r="G52" s="6"/>
      <c r="J52" s="2"/>
      <c r="K52" t="s">
        <v>220</v>
      </c>
      <c r="L52" t="s">
        <v>221</v>
      </c>
    </row>
    <row r="53" spans="1:12" ht="12" thickTop="1" x14ac:dyDescent="0.2">
      <c r="J53" s="2"/>
      <c r="K53" s="88">
        <f>'6.4'!K$53</f>
        <v>43373</v>
      </c>
      <c r="L53" s="88">
        <f>'6.4'!L$53</f>
        <v>43465</v>
      </c>
    </row>
    <row r="54" spans="1:12" s="62" customFormat="1" x14ac:dyDescent="0.2">
      <c r="A54" t="s">
        <v>18</v>
      </c>
      <c r="B54"/>
      <c r="C54"/>
      <c r="D54"/>
      <c r="E54"/>
      <c r="F54" s="45"/>
      <c r="G54"/>
      <c r="H54"/>
      <c r="I54"/>
      <c r="J54" s="2"/>
    </row>
    <row r="55" spans="1:12" x14ac:dyDescent="0.2">
      <c r="A55" s="22" t="str">
        <f>C12&amp;" Provided by TDI.  Accident years ending "&amp;TEXT($K$53,"m/d/xx")&amp;" as of "&amp;TEXT($L$53,"m/d/yyyy")</f>
        <v>(2) Provided by TDI.  Accident years ending 9/30/xx as of 12/31/2018</v>
      </c>
      <c r="J55" s="2"/>
    </row>
    <row r="56" spans="1:12" x14ac:dyDescent="0.2">
      <c r="A56" s="22" t="str">
        <f>D12&amp;" 1998 and prior judgementally selected; 1999 - 2016 based on TWIA on-level factors"</f>
        <v>(3) 1998 and prior judgementally selected; 1999 - 2016 based on TWIA on-level factors</v>
      </c>
      <c r="J56" s="2"/>
    </row>
    <row r="57" spans="1:12" x14ac:dyDescent="0.2">
      <c r="A57" s="22" t="str">
        <f>E12&amp;" = "&amp;C12&amp;" * "&amp;D12</f>
        <v>(4) = (2) * (3)</v>
      </c>
      <c r="J57" s="2"/>
    </row>
    <row r="58" spans="1:12" x14ac:dyDescent="0.2">
      <c r="A58" s="22" t="str">
        <f>'6.5'!A59</f>
        <v>(5) Provided by TDI. Accidn't yrs ending 9/30/xx as of 12/31/2018</v>
      </c>
      <c r="J58" s="2"/>
    </row>
    <row r="59" spans="1:12" x14ac:dyDescent="0.2">
      <c r="A59" s="22" t="str">
        <f>G12&amp;" = "&amp;F12&amp;" / "&amp;E12</f>
        <v>(6) = (5) / (4)</v>
      </c>
      <c r="J59" s="2"/>
    </row>
    <row r="60" spans="1:12" ht="12" thickBot="1" x14ac:dyDescent="0.25">
      <c r="B60" s="22"/>
      <c r="D60" s="63"/>
      <c r="E60" s="63"/>
      <c r="F60" s="63"/>
      <c r="G60" s="23"/>
      <c r="J60" s="2"/>
    </row>
    <row r="61" spans="1:12" ht="12" thickBot="1" x14ac:dyDescent="0.25">
      <c r="A61" s="4"/>
      <c r="B61" s="5"/>
      <c r="C61" s="5"/>
      <c r="D61" s="5"/>
      <c r="E61" s="5"/>
      <c r="F61" s="5"/>
      <c r="G61" s="5"/>
      <c r="H61" s="5"/>
      <c r="I61" s="5"/>
      <c r="J6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/>
  <dimension ref="A1:M61"/>
  <sheetViews>
    <sheetView topLeftCell="A23" zoomScaleNormal="100" workbookViewId="0">
      <selection activeCell="F67" sqref="F67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5" customWidth="1"/>
    <col min="12" max="12" width="13.1640625" customWidth="1"/>
  </cols>
  <sheetData>
    <row r="1" spans="1:13" x14ac:dyDescent="0.2">
      <c r="A1" s="8" t="str">
        <f>'1'!$A$1</f>
        <v>Texas Windstorm Insurance Association</v>
      </c>
      <c r="B1" s="12"/>
      <c r="I1" s="7" t="s">
        <v>107</v>
      </c>
      <c r="J1" s="1"/>
    </row>
    <row r="2" spans="1:13" x14ac:dyDescent="0.2">
      <c r="A2" s="8" t="str">
        <f>'1'!$A$2</f>
        <v>Residential Property - Wind &amp; Hail</v>
      </c>
      <c r="B2" s="12"/>
      <c r="I2" s="7" t="s">
        <v>142</v>
      </c>
      <c r="J2" s="2"/>
    </row>
    <row r="3" spans="1:13" x14ac:dyDescent="0.2">
      <c r="A3" s="8" t="str">
        <f>'1'!$A$3</f>
        <v>Rate Level Review</v>
      </c>
      <c r="B3" s="12"/>
      <c r="J3" s="2"/>
    </row>
    <row r="4" spans="1:13" x14ac:dyDescent="0.2">
      <c r="A4" t="s">
        <v>108</v>
      </c>
      <c r="B4" s="12"/>
      <c r="J4" s="2"/>
    </row>
    <row r="5" spans="1:13" x14ac:dyDescent="0.2">
      <c r="A5" t="s">
        <v>51</v>
      </c>
      <c r="B5" s="12"/>
      <c r="J5" s="2"/>
    </row>
    <row r="6" spans="1:13" x14ac:dyDescent="0.2">
      <c r="J6" s="2"/>
    </row>
    <row r="7" spans="1:13" ht="12" thickBot="1" x14ac:dyDescent="0.25">
      <c r="A7" s="6"/>
      <c r="B7" s="6"/>
      <c r="C7" s="6"/>
      <c r="D7" s="6"/>
      <c r="E7" s="6"/>
      <c r="F7" s="6"/>
      <c r="G7" s="6"/>
      <c r="J7" s="2"/>
    </row>
    <row r="8" spans="1:13" ht="12" thickTop="1" x14ac:dyDescent="0.2">
      <c r="J8" s="2"/>
    </row>
    <row r="9" spans="1:13" x14ac:dyDescent="0.2">
      <c r="C9" s="22"/>
      <c r="D9" t="s">
        <v>38</v>
      </c>
      <c r="E9" t="s">
        <v>45</v>
      </c>
      <c r="G9" s="11"/>
      <c r="J9" s="2"/>
      <c r="K9" s="27"/>
    </row>
    <row r="10" spans="1:13" x14ac:dyDescent="0.2">
      <c r="A10" t="s">
        <v>54</v>
      </c>
      <c r="C10" t="s">
        <v>129</v>
      </c>
      <c r="D10" t="s">
        <v>139</v>
      </c>
      <c r="E10" t="s">
        <v>43</v>
      </c>
      <c r="F10" t="s">
        <v>88</v>
      </c>
      <c r="G10" t="s">
        <v>88</v>
      </c>
      <c r="J10" s="2"/>
      <c r="K10" s="22"/>
    </row>
    <row r="11" spans="1:13" x14ac:dyDescent="0.2">
      <c r="A11" s="9" t="s">
        <v>55</v>
      </c>
      <c r="B11" s="9"/>
      <c r="C11" s="9" t="s">
        <v>130</v>
      </c>
      <c r="D11" s="9" t="s">
        <v>140</v>
      </c>
      <c r="E11" s="9" t="s">
        <v>44</v>
      </c>
      <c r="F11" s="9" t="s">
        <v>42</v>
      </c>
      <c r="G11" s="9" t="s">
        <v>79</v>
      </c>
      <c r="J11" s="2"/>
      <c r="K11" s="5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3" x14ac:dyDescent="0.2">
      <c r="J13" s="2"/>
    </row>
    <row r="14" spans="1:13" x14ac:dyDescent="0.2">
      <c r="A14" s="194">
        <v>1983</v>
      </c>
      <c r="C14" s="38">
        <v>16247909</v>
      </c>
      <c r="D14" s="35">
        <f>'6.4'!D14</f>
        <v>2.617</v>
      </c>
      <c r="E14" s="31">
        <f t="shared" ref="E14:E45" si="0">C14*D14</f>
        <v>42520777.853</v>
      </c>
      <c r="F14" s="38">
        <v>61752490</v>
      </c>
      <c r="G14" s="23">
        <f>F14/E14</f>
        <v>1.4522897538113388</v>
      </c>
      <c r="J14" s="2"/>
      <c r="K14" s="7"/>
      <c r="M14" s="19"/>
    </row>
    <row r="15" spans="1:13" x14ac:dyDescent="0.2">
      <c r="A15" t="str">
        <f>TEXT(A14+1,"#")</f>
        <v>1984</v>
      </c>
      <c r="C15" s="38">
        <v>11008847</v>
      </c>
      <c r="D15" s="35">
        <f>'6.4'!D15</f>
        <v>2.617</v>
      </c>
      <c r="E15" s="31">
        <f t="shared" si="0"/>
        <v>28810152.598999999</v>
      </c>
      <c r="F15" s="38">
        <v>9535536</v>
      </c>
      <c r="G15" s="23">
        <f>F15/E15</f>
        <v>0.33097832325716242</v>
      </c>
      <c r="J15" s="2"/>
      <c r="K15" s="7"/>
      <c r="M15" s="19"/>
    </row>
    <row r="16" spans="1:13" x14ac:dyDescent="0.2">
      <c r="A16" t="str">
        <f t="shared" ref="A16:A46" si="1">TEXT(A15+1,"#")</f>
        <v>1985</v>
      </c>
      <c r="C16" s="38">
        <v>15662193</v>
      </c>
      <c r="D16" s="35">
        <f>'6.4'!D16</f>
        <v>2.617</v>
      </c>
      <c r="E16" s="31">
        <f t="shared" si="0"/>
        <v>40987959.081</v>
      </c>
      <c r="F16" s="38">
        <v>4532749</v>
      </c>
      <c r="G16" s="23">
        <f>F16/E16</f>
        <v>0.1105873310511125</v>
      </c>
      <c r="J16" s="2"/>
      <c r="K16" s="7"/>
      <c r="M16" s="19"/>
    </row>
    <row r="17" spans="1:13" x14ac:dyDescent="0.2">
      <c r="A17" t="str">
        <f t="shared" si="1"/>
        <v>1986</v>
      </c>
      <c r="C17" s="38">
        <v>19854927</v>
      </c>
      <c r="D17" s="35">
        <f>'6.4'!D17</f>
        <v>2.617</v>
      </c>
      <c r="E17" s="31">
        <f t="shared" si="0"/>
        <v>51960343.958999999</v>
      </c>
      <c r="F17" s="38">
        <v>6306903</v>
      </c>
      <c r="G17" s="23">
        <f t="shared" ref="G17:G45" si="2">ROUND(F17/E17,3)</f>
        <v>0.121</v>
      </c>
      <c r="J17" s="2"/>
      <c r="K17" s="7"/>
      <c r="M17" s="19"/>
    </row>
    <row r="18" spans="1:13" x14ac:dyDescent="0.2">
      <c r="A18" t="str">
        <f t="shared" si="1"/>
        <v>1987</v>
      </c>
      <c r="C18" s="38">
        <v>22542928</v>
      </c>
      <c r="D18" s="35">
        <f>'6.4'!D18</f>
        <v>2.617</v>
      </c>
      <c r="E18" s="31">
        <f t="shared" si="0"/>
        <v>58994842.575999998</v>
      </c>
      <c r="F18" s="38">
        <v>3739010</v>
      </c>
      <c r="G18" s="23">
        <f t="shared" si="2"/>
        <v>6.3E-2</v>
      </c>
      <c r="J18" s="2"/>
      <c r="K18" s="7"/>
      <c r="M18" s="19"/>
    </row>
    <row r="19" spans="1:13" x14ac:dyDescent="0.2">
      <c r="A19" t="str">
        <f t="shared" si="1"/>
        <v>1988</v>
      </c>
      <c r="C19" s="229">
        <v>24744994</v>
      </c>
      <c r="D19" s="35">
        <f>'6.4'!D19</f>
        <v>2.617</v>
      </c>
      <c r="E19" s="31">
        <f t="shared" si="0"/>
        <v>64757649.298</v>
      </c>
      <c r="F19" s="228">
        <v>4139098</v>
      </c>
      <c r="G19" s="23">
        <f t="shared" si="2"/>
        <v>6.4000000000000001E-2</v>
      </c>
      <c r="J19" s="2"/>
      <c r="K19" s="7"/>
      <c r="M19" s="19"/>
    </row>
    <row r="20" spans="1:13" x14ac:dyDescent="0.2">
      <c r="A20" t="str">
        <f t="shared" si="1"/>
        <v>1989</v>
      </c>
      <c r="C20" s="229">
        <v>22159987</v>
      </c>
      <c r="D20" s="35">
        <f>'6.4'!D20</f>
        <v>2.617</v>
      </c>
      <c r="E20" s="31">
        <f t="shared" si="0"/>
        <v>57992685.979000002</v>
      </c>
      <c r="F20" s="229">
        <v>8884751</v>
      </c>
      <c r="G20" s="23">
        <f t="shared" si="2"/>
        <v>0.153</v>
      </c>
      <c r="J20" s="2"/>
      <c r="K20" s="7"/>
      <c r="M20" s="19"/>
    </row>
    <row r="21" spans="1:13" x14ac:dyDescent="0.2">
      <c r="A21" t="str">
        <f t="shared" si="1"/>
        <v>1990</v>
      </c>
      <c r="C21" s="229">
        <v>21480544</v>
      </c>
      <c r="D21" s="35">
        <f>'6.4'!D21</f>
        <v>2.617</v>
      </c>
      <c r="E21" s="31">
        <f t="shared" si="0"/>
        <v>56214583.648000002</v>
      </c>
      <c r="F21" s="229">
        <v>11997188</v>
      </c>
      <c r="G21" s="23">
        <f t="shared" si="2"/>
        <v>0.21299999999999999</v>
      </c>
      <c r="J21" s="2"/>
      <c r="K21" s="7"/>
      <c r="M21" s="19"/>
    </row>
    <row r="22" spans="1:13" x14ac:dyDescent="0.2">
      <c r="A22" t="str">
        <f t="shared" si="1"/>
        <v>1991</v>
      </c>
      <c r="B22" s="22"/>
      <c r="C22" s="106">
        <f>ROUND('[2]TICO 2'!$R33,0)</f>
        <v>25239134</v>
      </c>
      <c r="D22" s="35">
        <f>'6.4'!D22</f>
        <v>2.617</v>
      </c>
      <c r="E22" s="31">
        <f>C22*D22</f>
        <v>66050813.678000003</v>
      </c>
      <c r="F22" s="106">
        <f>ROUND('[2]TICO 2'!$X33,0)</f>
        <v>10178608</v>
      </c>
      <c r="G22" s="23">
        <f t="shared" si="2"/>
        <v>0.154</v>
      </c>
      <c r="J22" s="2"/>
      <c r="K22" s="7"/>
      <c r="M22" s="19"/>
    </row>
    <row r="23" spans="1:13" x14ac:dyDescent="0.2">
      <c r="A23" t="str">
        <f t="shared" si="1"/>
        <v>1992</v>
      </c>
      <c r="B23" s="22"/>
      <c r="C23" s="106">
        <f>ROUND('[2]TICO 2'!$R34,0)</f>
        <v>26718987</v>
      </c>
      <c r="D23" s="35">
        <f>'6.4'!D23</f>
        <v>2.617</v>
      </c>
      <c r="E23" s="31">
        <f t="shared" si="0"/>
        <v>69923588.979000002</v>
      </c>
      <c r="F23" s="106">
        <f>ROUND('[2]TICO 2'!$X34,0)</f>
        <v>12221034</v>
      </c>
      <c r="G23" s="23">
        <f t="shared" si="2"/>
        <v>0.17499999999999999</v>
      </c>
      <c r="J23" s="2"/>
      <c r="K23" s="7"/>
      <c r="M23" s="19"/>
    </row>
    <row r="24" spans="1:13" x14ac:dyDescent="0.2">
      <c r="A24" t="str">
        <f t="shared" si="1"/>
        <v>1993</v>
      </c>
      <c r="B24" s="22"/>
      <c r="C24" s="106">
        <f>ROUND('[2]TICO 2'!$R35,0)</f>
        <v>31914206</v>
      </c>
      <c r="D24" s="35">
        <f>'6.4'!D24</f>
        <v>2.617</v>
      </c>
      <c r="E24" s="31">
        <f t="shared" si="0"/>
        <v>83519477.101999998</v>
      </c>
      <c r="F24" s="106">
        <f>ROUND('[2]TICO 2'!$X35,0)</f>
        <v>17910197</v>
      </c>
      <c r="G24" s="23">
        <f t="shared" si="2"/>
        <v>0.214</v>
      </c>
      <c r="J24" s="2"/>
      <c r="K24" s="7"/>
      <c r="M24" s="19"/>
    </row>
    <row r="25" spans="1:13" x14ac:dyDescent="0.2">
      <c r="A25" t="str">
        <f t="shared" si="1"/>
        <v>1994</v>
      </c>
      <c r="C25" s="106">
        <f>ROUND('[2]TICO 2'!$R36,0)</f>
        <v>35133612</v>
      </c>
      <c r="D25" s="35">
        <f>'6.4'!D25</f>
        <v>2.617</v>
      </c>
      <c r="E25" s="31">
        <f t="shared" si="0"/>
        <v>91944662.604000002</v>
      </c>
      <c r="F25" s="106">
        <f>ROUND('[2]TICO 2'!$X36,0)</f>
        <v>6968697</v>
      </c>
      <c r="G25" s="23">
        <f t="shared" si="2"/>
        <v>7.5999999999999998E-2</v>
      </c>
      <c r="J25" s="2"/>
    </row>
    <row r="26" spans="1:13" x14ac:dyDescent="0.2">
      <c r="A26" t="str">
        <f t="shared" si="1"/>
        <v>1995</v>
      </c>
      <c r="C26" s="106">
        <f>ROUND('[2]TICO 2'!$R37,0)</f>
        <v>34347927</v>
      </c>
      <c r="D26" s="35">
        <f>'6.4'!D26</f>
        <v>2.617</v>
      </c>
      <c r="E26" s="31">
        <f t="shared" si="0"/>
        <v>89888524.959000006</v>
      </c>
      <c r="F26" s="106">
        <f>ROUND('[2]TICO 2'!$X37,0)</f>
        <v>20240594</v>
      </c>
      <c r="G26" s="23">
        <f t="shared" si="2"/>
        <v>0.22500000000000001</v>
      </c>
      <c r="J26" s="2"/>
    </row>
    <row r="27" spans="1:13" x14ac:dyDescent="0.2">
      <c r="A27" t="str">
        <f t="shared" si="1"/>
        <v>1996</v>
      </c>
      <c r="C27" s="106">
        <f>ROUND('[2]TICO 2'!$R38,0)</f>
        <v>38349764</v>
      </c>
      <c r="D27" s="35">
        <f>'6.4'!D27</f>
        <v>2.617</v>
      </c>
      <c r="E27" s="31">
        <f t="shared" si="0"/>
        <v>100361332.388</v>
      </c>
      <c r="F27" s="106">
        <f>ROUND('[2]TICO 2'!$X38,0)</f>
        <v>9046495</v>
      </c>
      <c r="G27" s="23">
        <f t="shared" si="2"/>
        <v>0.09</v>
      </c>
      <c r="J27" s="2"/>
    </row>
    <row r="28" spans="1:13" x14ac:dyDescent="0.2">
      <c r="A28" t="str">
        <f t="shared" si="1"/>
        <v>1997</v>
      </c>
      <c r="C28" s="106">
        <f>ROUND('[2]TICO 2'!$R39,0)</f>
        <v>42447731</v>
      </c>
      <c r="D28" s="35">
        <f>'6.4'!D28</f>
        <v>2.617</v>
      </c>
      <c r="E28" s="31">
        <f t="shared" si="0"/>
        <v>111085712.027</v>
      </c>
      <c r="F28" s="106">
        <f>ROUND('[2]TICO 2'!$X39,0)</f>
        <v>8514675</v>
      </c>
      <c r="G28" s="23">
        <f t="shared" si="2"/>
        <v>7.6999999999999999E-2</v>
      </c>
      <c r="J28" s="2"/>
    </row>
    <row r="29" spans="1:13" x14ac:dyDescent="0.2">
      <c r="A29" t="str">
        <f t="shared" si="1"/>
        <v>1998</v>
      </c>
      <c r="C29" s="106">
        <f>ROUND('[2]TICO 2'!$R40,0)</f>
        <v>41427572</v>
      </c>
      <c r="D29" s="35">
        <f>'6.4'!D29</f>
        <v>2.617</v>
      </c>
      <c r="E29" s="31">
        <f t="shared" si="0"/>
        <v>108415955.92399999</v>
      </c>
      <c r="F29" s="106">
        <f>ROUND('[2]TICO 2'!$X40,0)</f>
        <v>10127907</v>
      </c>
      <c r="G29" s="23">
        <f t="shared" si="2"/>
        <v>9.2999999999999999E-2</v>
      </c>
      <c r="J29" s="2"/>
    </row>
    <row r="30" spans="1:13" x14ac:dyDescent="0.2">
      <c r="A30" t="str">
        <f t="shared" si="1"/>
        <v>1999</v>
      </c>
      <c r="C30" s="106">
        <f>ROUND('[2]TICO 2'!$R41,0)</f>
        <v>34004815</v>
      </c>
      <c r="D30" s="35">
        <f>'6.4'!D30</f>
        <v>2.5930861368146725</v>
      </c>
      <c r="E30" s="31">
        <f t="shared" si="0"/>
        <v>88177414.361447632</v>
      </c>
      <c r="F30" s="106">
        <f>ROUND('[2]TICO 2'!$X41,0)</f>
        <v>8680187</v>
      </c>
      <c r="G30" s="23">
        <f t="shared" si="2"/>
        <v>9.8000000000000004E-2</v>
      </c>
      <c r="J30" s="2"/>
    </row>
    <row r="31" spans="1:13" x14ac:dyDescent="0.2">
      <c r="A31" t="str">
        <f t="shared" si="1"/>
        <v>2000</v>
      </c>
      <c r="C31" s="106">
        <f>ROUND('[2]TICO 2'!$R42,0)</f>
        <v>36439477</v>
      </c>
      <c r="D31" s="35">
        <f>'6.4'!D31</f>
        <v>2.3855438241165343</v>
      </c>
      <c r="E31" s="31">
        <f t="shared" si="0"/>
        <v>86927969.311386496</v>
      </c>
      <c r="F31" s="106">
        <f>ROUND('[2]TICO 2'!$X42,0)</f>
        <v>9518422</v>
      </c>
      <c r="G31" s="23">
        <f t="shared" si="2"/>
        <v>0.109</v>
      </c>
      <c r="J31" s="2"/>
    </row>
    <row r="32" spans="1:13" x14ac:dyDescent="0.2">
      <c r="A32" t="str">
        <f t="shared" si="1"/>
        <v>2001</v>
      </c>
      <c r="C32" s="106">
        <f>ROUND('[2]TICO 2'!$R43,0)</f>
        <v>32881662</v>
      </c>
      <c r="D32" s="35">
        <f>'6.4'!D32</f>
        <v>2.0131171511531933</v>
      </c>
      <c r="E32" s="31">
        <f t="shared" si="0"/>
        <v>66194637.730622217</v>
      </c>
      <c r="F32" s="106">
        <f>ROUND('[2]TICO 2'!$X43,0)</f>
        <v>23547404</v>
      </c>
      <c r="G32" s="23">
        <f t="shared" si="2"/>
        <v>0.35599999999999998</v>
      </c>
      <c r="J32" s="2"/>
    </row>
    <row r="33" spans="1:10" x14ac:dyDescent="0.2">
      <c r="A33" t="str">
        <f t="shared" si="1"/>
        <v>2002</v>
      </c>
      <c r="C33" s="106">
        <f>ROUND('[2]TICO 2'!$R44,0)</f>
        <v>37396181</v>
      </c>
      <c r="D33" s="35">
        <f>'6.4'!D33</f>
        <v>2.0131171511531933</v>
      </c>
      <c r="E33" s="31">
        <f t="shared" si="0"/>
        <v>75282893.358729184</v>
      </c>
      <c r="F33" s="106">
        <f>ROUND('[2]TICO 2'!$X44,0)</f>
        <v>7950367</v>
      </c>
      <c r="G33" s="23">
        <f t="shared" si="2"/>
        <v>0.106</v>
      </c>
      <c r="J33" s="2"/>
    </row>
    <row r="34" spans="1:10" x14ac:dyDescent="0.2">
      <c r="A34" t="str">
        <f t="shared" si="1"/>
        <v>2003</v>
      </c>
      <c r="B34" s="62"/>
      <c r="C34" s="106">
        <f>ROUND('[2]TICO 2'!$R45,0)</f>
        <v>49027236</v>
      </c>
      <c r="D34" s="35">
        <f>'6.4'!D34</f>
        <v>2.0131171511531929</v>
      </c>
      <c r="E34" s="31">
        <f t="shared" si="0"/>
        <v>98697569.665235266</v>
      </c>
      <c r="F34" s="106">
        <f>ROUND('[2]TICO 2'!$X45,0)</f>
        <v>10177909</v>
      </c>
      <c r="G34" s="23">
        <f t="shared" si="2"/>
        <v>0.10299999999999999</v>
      </c>
      <c r="J34" s="2"/>
    </row>
    <row r="35" spans="1:10" x14ac:dyDescent="0.2">
      <c r="A35" t="str">
        <f t="shared" si="1"/>
        <v>2004</v>
      </c>
      <c r="C35" s="106">
        <f>ROUND('[2]TICO 2'!$R46,0)</f>
        <v>49927649</v>
      </c>
      <c r="D35" s="35">
        <f>'6.4'!D35</f>
        <v>1.9195987469434546</v>
      </c>
      <c r="E35" s="31">
        <f t="shared" si="0"/>
        <v>95841052.458232626</v>
      </c>
      <c r="F35" s="106">
        <f>ROUND('[2]TICO 2'!$X46,0)</f>
        <v>3738542</v>
      </c>
      <c r="G35" s="23">
        <f t="shared" si="2"/>
        <v>3.9E-2</v>
      </c>
      <c r="J35" s="2"/>
    </row>
    <row r="36" spans="1:10" x14ac:dyDescent="0.2">
      <c r="A36" t="str">
        <f t="shared" si="1"/>
        <v>2005</v>
      </c>
      <c r="B36" s="62"/>
      <c r="C36" s="106">
        <f>ROUND('[2]TICO 2'!$R47,0)</f>
        <v>50116517</v>
      </c>
      <c r="D36" s="35">
        <f>'6.4'!D36</f>
        <v>1.8367857218551029</v>
      </c>
      <c r="E36" s="31">
        <f>C36*D36</f>
        <v>92053302.854708537</v>
      </c>
      <c r="F36" s="106">
        <f>ROUND('[2]TICO 2'!$X47,0)</f>
        <v>34201898</v>
      </c>
      <c r="G36" s="23">
        <f t="shared" si="2"/>
        <v>0.372</v>
      </c>
      <c r="J36" s="2"/>
    </row>
    <row r="37" spans="1:10" x14ac:dyDescent="0.2">
      <c r="A37" t="str">
        <f t="shared" si="1"/>
        <v>2006</v>
      </c>
      <c r="B37" s="45"/>
      <c r="C37" s="106">
        <f>ROUND('[2]TICO 2'!$R48,0)</f>
        <v>54703319</v>
      </c>
      <c r="D37" s="35">
        <f>'6.4'!D37</f>
        <v>1.8323775762609837</v>
      </c>
      <c r="E37" s="31">
        <f>C37*D37</f>
        <v>100237135.08265142</v>
      </c>
      <c r="F37" s="106">
        <f>ROUND('[2]TICO 2'!$X48,0)</f>
        <v>4909932</v>
      </c>
      <c r="G37" s="53">
        <f t="shared" si="2"/>
        <v>4.9000000000000002E-2</v>
      </c>
      <c r="J37" s="2"/>
    </row>
    <row r="38" spans="1:10" x14ac:dyDescent="0.2">
      <c r="A38" t="str">
        <f t="shared" si="1"/>
        <v>2007</v>
      </c>
      <c r="C38" s="106">
        <f>ROUND('[2]TICO 2'!$R49,0)</f>
        <v>60982886</v>
      </c>
      <c r="D38" s="35">
        <f>'6.4'!D38</f>
        <v>1.7490128310516411</v>
      </c>
      <c r="E38" s="31">
        <f t="shared" si="0"/>
        <v>106659850.08855949</v>
      </c>
      <c r="F38" s="106">
        <f>ROUND('[2]TICO 2'!$X49,0)</f>
        <v>5242698</v>
      </c>
      <c r="G38" s="53">
        <f t="shared" si="2"/>
        <v>4.9000000000000002E-2</v>
      </c>
      <c r="J38" s="2"/>
    </row>
    <row r="39" spans="1:10" s="62" customFormat="1" x14ac:dyDescent="0.2">
      <c r="A39" t="str">
        <f t="shared" si="1"/>
        <v>2008</v>
      </c>
      <c r="B39" s="45"/>
      <c r="C39" s="106">
        <f>ROUND('[2]TICO 2'!$R50,0)</f>
        <v>65015817</v>
      </c>
      <c r="D39" s="35">
        <f>'6.4'!D39</f>
        <v>1.6495345789525933</v>
      </c>
      <c r="E39" s="31">
        <f t="shared" si="0"/>
        <v>107245838.32035385</v>
      </c>
      <c r="F39" s="106">
        <f>ROUND('[2]TICO 2'!$X50,0)</f>
        <v>448708416</v>
      </c>
      <c r="G39" s="53">
        <f t="shared" si="2"/>
        <v>4.1840000000000002</v>
      </c>
      <c r="H39"/>
      <c r="I39"/>
      <c r="J39" s="2"/>
    </row>
    <row r="40" spans="1:10" x14ac:dyDescent="0.2">
      <c r="A40" t="str">
        <f t="shared" si="1"/>
        <v>2009</v>
      </c>
      <c r="B40" s="45"/>
      <c r="C40" s="106">
        <f>ROUND('[2]TICO 2'!$R51,0)</f>
        <v>70667217</v>
      </c>
      <c r="D40" s="35">
        <f>'6.4'!D40</f>
        <v>1.4987056675771686</v>
      </c>
      <c r="E40" s="31">
        <f t="shared" si="0"/>
        <v>105909358.62980564</v>
      </c>
      <c r="F40" s="106">
        <f>ROUND('[2]TICO 2'!$X51,0)</f>
        <v>9952501</v>
      </c>
      <c r="G40" s="53">
        <f t="shared" si="2"/>
        <v>9.4E-2</v>
      </c>
      <c r="J40" s="2"/>
    </row>
    <row r="41" spans="1:10" x14ac:dyDescent="0.2">
      <c r="A41" t="str">
        <f t="shared" si="1"/>
        <v>2010</v>
      </c>
      <c r="B41" s="45"/>
      <c r="C41" s="106">
        <f>ROUND('[2]TICO 2'!$R52,0)</f>
        <v>70788779</v>
      </c>
      <c r="D41" s="35">
        <f>'6.4'!D41</f>
        <v>1.4074808531397425</v>
      </c>
      <c r="E41" s="31">
        <f t="shared" si="0"/>
        <v>99633851.059640691</v>
      </c>
      <c r="F41" s="106">
        <f>ROUND('[2]TICO 2'!$X52,0)</f>
        <v>10826541</v>
      </c>
      <c r="G41" s="53">
        <f t="shared" si="2"/>
        <v>0.109</v>
      </c>
      <c r="J41" s="2"/>
    </row>
    <row r="42" spans="1:10" s="62" customFormat="1" x14ac:dyDescent="0.2">
      <c r="A42" t="str">
        <f t="shared" si="1"/>
        <v>2011</v>
      </c>
      <c r="B42" s="51"/>
      <c r="C42" s="106">
        <f>ROUND('[2]TICO 2'!$R53,0)</f>
        <v>73325323</v>
      </c>
      <c r="D42" s="35">
        <f>'6.4'!D42</f>
        <v>1.3727166755238378</v>
      </c>
      <c r="E42" s="31">
        <f t="shared" si="0"/>
        <v>100654893.62027161</v>
      </c>
      <c r="F42" s="106">
        <f>ROUND('[2]TICO 2'!$X53,0)</f>
        <v>5992356</v>
      </c>
      <c r="G42" s="53">
        <f t="shared" si="2"/>
        <v>0.06</v>
      </c>
      <c r="H42"/>
      <c r="I42"/>
      <c r="J42" s="2"/>
    </row>
    <row r="43" spans="1:10" x14ac:dyDescent="0.2">
      <c r="A43" t="str">
        <f t="shared" si="1"/>
        <v>2012</v>
      </c>
      <c r="B43" s="45"/>
      <c r="C43" s="106">
        <f>ROUND('[2]TICO 2'!$R54,0)</f>
        <v>80858142</v>
      </c>
      <c r="D43" s="35">
        <f>'6.4'!D43</f>
        <v>1.3073731976777445</v>
      </c>
      <c r="E43" s="31">
        <f t="shared" si="0"/>
        <v>105711767.66482113</v>
      </c>
      <c r="F43" s="106">
        <f>ROUND('[2]TICO 2'!$X54,0)</f>
        <v>89876917</v>
      </c>
      <c r="G43" s="53">
        <f t="shared" si="2"/>
        <v>0.85</v>
      </c>
      <c r="J43" s="2"/>
    </row>
    <row r="44" spans="1:10" s="62" customFormat="1" x14ac:dyDescent="0.2">
      <c r="A44" t="str">
        <f t="shared" si="1"/>
        <v>2013</v>
      </c>
      <c r="B44" s="51"/>
      <c r="C44" s="106">
        <f>ROUND('[2]TICO 2'!$R55,0)</f>
        <v>90250703</v>
      </c>
      <c r="D44" s="35">
        <f>'6.4'!D44</f>
        <v>1.2452851041347781</v>
      </c>
      <c r="E44" s="31">
        <f t="shared" si="0"/>
        <v>112387856.08359194</v>
      </c>
      <c r="F44" s="106">
        <f>ROUND('[2]TICO 2'!$X55,0)</f>
        <v>22049904</v>
      </c>
      <c r="G44" s="53">
        <f t="shared" si="2"/>
        <v>0.19600000000000001</v>
      </c>
      <c r="H44"/>
      <c r="I44"/>
      <c r="J44" s="2"/>
    </row>
    <row r="45" spans="1:10" s="62" customFormat="1" x14ac:dyDescent="0.2">
      <c r="A45" t="str">
        <f t="shared" si="1"/>
        <v>2014</v>
      </c>
      <c r="B45" s="51"/>
      <c r="C45" s="106">
        <f>ROUND('[2]TICO 2'!$R56,0)</f>
        <v>99916064</v>
      </c>
      <c r="D45" s="35">
        <f>'6.4'!D45</f>
        <v>1.1862347753925764</v>
      </c>
      <c r="E45" s="31">
        <f t="shared" si="0"/>
        <v>118523909.73715028</v>
      </c>
      <c r="F45" s="106">
        <f>ROUND('[2]TICO 2'!$X56,0)</f>
        <v>20906458</v>
      </c>
      <c r="G45" s="53">
        <f t="shared" si="2"/>
        <v>0.17599999999999999</v>
      </c>
      <c r="H45"/>
      <c r="I45"/>
      <c r="J45" s="2"/>
    </row>
    <row r="46" spans="1:10" s="62" customFormat="1" x14ac:dyDescent="0.2">
      <c r="A46" s="50" t="str">
        <f t="shared" si="1"/>
        <v>2015</v>
      </c>
      <c r="B46" s="51"/>
      <c r="C46" s="106">
        <f>ROUND('[2]TICO 2'!$R57,0)</f>
        <v>110352614</v>
      </c>
      <c r="D46" s="35">
        <f>'6.4'!D46</f>
        <v>1.1299661810216541</v>
      </c>
      <c r="E46" s="128">
        <f>C46*D46</f>
        <v>124694721.80733672</v>
      </c>
      <c r="F46" s="106">
        <f>ROUND('[2]TICO 2'!$X57,0)</f>
        <v>43880545</v>
      </c>
      <c r="G46" s="53">
        <f>ROUND(F46/E46,3)</f>
        <v>0.35199999999999998</v>
      </c>
      <c r="H46"/>
      <c r="I46"/>
      <c r="J46" s="2"/>
    </row>
    <row r="47" spans="1:10" x14ac:dyDescent="0.2">
      <c r="A47" s="51">
        <v>2016</v>
      </c>
      <c r="B47" s="51"/>
      <c r="C47" s="106">
        <f>ROUND('[2]TICO 2'!$R58,0)</f>
        <v>119744188</v>
      </c>
      <c r="D47" s="35">
        <f>'6.4'!D47</f>
        <v>1.0765597532120244</v>
      </c>
      <c r="E47" s="128">
        <f>C47*D47</f>
        <v>128911773.48185425</v>
      </c>
      <c r="F47" s="106">
        <f>ROUND('[2]TICO 2'!$X58,0)</f>
        <v>46061809</v>
      </c>
      <c r="G47" s="53">
        <f>ROUND(F47/E47,3)</f>
        <v>0.35699999999999998</v>
      </c>
      <c r="J47" s="2"/>
    </row>
    <row r="48" spans="1:10" x14ac:dyDescent="0.2">
      <c r="A48" s="51">
        <v>2017</v>
      </c>
      <c r="B48" s="51"/>
      <c r="C48" s="106">
        <f>ROUND('[2]TICO 2'!$R59,0)</f>
        <v>117739636</v>
      </c>
      <c r="D48" s="107">
        <f>'6.4'!D48</f>
        <v>1.0500000000000014</v>
      </c>
      <c r="E48" s="128">
        <f>C48*D48</f>
        <v>123626617.80000016</v>
      </c>
      <c r="F48" s="106">
        <f>ROUND('[2]TICO 2'!$X59,0)</f>
        <v>72170328</v>
      </c>
      <c r="G48" s="53">
        <f>ROUND(F48/E48,3)</f>
        <v>0.58399999999999996</v>
      </c>
      <c r="H48" s="50"/>
      <c r="J48" s="2"/>
    </row>
    <row r="49" spans="1:12" x14ac:dyDescent="0.2">
      <c r="A49" s="26">
        <v>2018</v>
      </c>
      <c r="B49" s="26"/>
      <c r="C49" s="85">
        <f>ROUND('[2]TICO 2'!$R60,0)</f>
        <v>115499554</v>
      </c>
      <c r="D49" s="69">
        <f>'6.4'!D49</f>
        <v>1.0255439472483592</v>
      </c>
      <c r="E49" s="32">
        <f>C49*D49</f>
        <v>118449868.51458502</v>
      </c>
      <c r="F49" s="85">
        <f>ROUND('[2]TICO 2'!$X60,0)</f>
        <v>10839197</v>
      </c>
      <c r="G49" s="89">
        <f>ROUND(F49/E49,3)</f>
        <v>9.1999999999999998E-2</v>
      </c>
      <c r="J49" s="2"/>
    </row>
    <row r="50" spans="1:12" s="62" customFormat="1" x14ac:dyDescent="0.2">
      <c r="H50"/>
      <c r="I50"/>
      <c r="J50" s="2"/>
    </row>
    <row r="51" spans="1:12" x14ac:dyDescent="0.2">
      <c r="A51" s="62" t="s">
        <v>9</v>
      </c>
      <c r="B51" s="62"/>
      <c r="C51" s="31">
        <f>SUM(C14:C47)</f>
        <v>1615679851</v>
      </c>
      <c r="D51" s="31"/>
      <c r="E51" s="31">
        <f>SUM(E14:E47)</f>
        <v>2937174857.9703989</v>
      </c>
      <c r="F51" s="31">
        <f>SUM(F14:F47)</f>
        <v>1012318738</v>
      </c>
      <c r="G51" s="23">
        <f>ROUND(F51/E51,3)</f>
        <v>0.34499999999999997</v>
      </c>
      <c r="J51" s="2"/>
    </row>
    <row r="52" spans="1:12" ht="12" thickBot="1" x14ac:dyDescent="0.25">
      <c r="A52" s="6"/>
      <c r="B52" s="6"/>
      <c r="C52" s="6"/>
      <c r="D52" s="6"/>
      <c r="E52" s="6"/>
      <c r="F52" s="6"/>
      <c r="G52" s="6"/>
      <c r="J52" s="2"/>
      <c r="K52" s="11" t="s">
        <v>220</v>
      </c>
      <c r="L52" s="11" t="s">
        <v>221</v>
      </c>
    </row>
    <row r="53" spans="1:12" ht="12" thickTop="1" x14ac:dyDescent="0.2">
      <c r="J53" s="2"/>
      <c r="K53" s="311">
        <f>'6.4'!K$53</f>
        <v>43373</v>
      </c>
      <c r="L53" s="311">
        <f>'6.4'!L$53</f>
        <v>43465</v>
      </c>
    </row>
    <row r="54" spans="1:12" s="62" customFormat="1" x14ac:dyDescent="0.2">
      <c r="A54" t="s">
        <v>18</v>
      </c>
      <c r="B54"/>
      <c r="C54"/>
      <c r="D54"/>
      <c r="E54"/>
      <c r="F54" s="45"/>
      <c r="G54"/>
      <c r="H54"/>
      <c r="I54"/>
      <c r="J54" s="2"/>
    </row>
    <row r="55" spans="1:12" x14ac:dyDescent="0.2">
      <c r="A55" s="22" t="str">
        <f>C12&amp;" Provided by TDI.  Accident years ending "&amp;TEXT($K$53,"m/d/xx")&amp;" as of "&amp;TEXT($L$53,"m/d/yyyy")</f>
        <v>(2) Provided by TDI.  Accident years ending 9/30/xx as of 12/31/2018</v>
      </c>
      <c r="J55" s="2"/>
    </row>
    <row r="56" spans="1:12" x14ac:dyDescent="0.2">
      <c r="A56" s="22" t="str">
        <f>D12&amp;" 1998 and prior judgementally selected; 1999 - 2018 based on TWIA on-level factors"</f>
        <v>(3) 1998 and prior judgementally selected; 1999 - 2018 based on TWIA on-level factors</v>
      </c>
      <c r="J56" s="2"/>
    </row>
    <row r="57" spans="1:12" x14ac:dyDescent="0.2">
      <c r="A57" s="22" t="str">
        <f>E12&amp;" = "&amp;C12&amp;" * "&amp;D12</f>
        <v>(4) = (2) * (3)</v>
      </c>
      <c r="J57" s="2"/>
    </row>
    <row r="58" spans="1:12" x14ac:dyDescent="0.2">
      <c r="A58" s="22" t="str">
        <f>'6.5'!A59</f>
        <v>(5) Provided by TDI. Accidn't yrs ending 9/30/xx as of 12/31/2018</v>
      </c>
      <c r="J58" s="2"/>
    </row>
    <row r="59" spans="1:12" x14ac:dyDescent="0.2">
      <c r="A59" s="22" t="str">
        <f>G12&amp;" = "&amp;F12&amp;" / "&amp;E12</f>
        <v>(6) = (5) / (4)</v>
      </c>
      <c r="J59" s="2"/>
    </row>
    <row r="60" spans="1:12" ht="12" thickBot="1" x14ac:dyDescent="0.25">
      <c r="D60" s="63"/>
      <c r="E60" s="63"/>
      <c r="F60" s="63"/>
      <c r="G60" s="23"/>
      <c r="J60" s="2"/>
    </row>
    <row r="61" spans="1:12" ht="12" thickBot="1" x14ac:dyDescent="0.25">
      <c r="A61" s="4"/>
      <c r="B61" s="5"/>
      <c r="C61" s="5"/>
      <c r="D61" s="5"/>
      <c r="E61" s="5"/>
      <c r="F61" s="5"/>
      <c r="G61" s="5"/>
      <c r="H61" s="5"/>
      <c r="I61" s="5"/>
      <c r="J6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6"/>
  <dimension ref="A1:Q69"/>
  <sheetViews>
    <sheetView topLeftCell="A4" zoomScaleNormal="100" workbookViewId="0">
      <selection activeCell="D48" sqref="D48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303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22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172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52" t="s">
        <v>146</v>
      </c>
      <c r="L9" s="2"/>
      <c r="M9" s="27"/>
    </row>
    <row r="10" spans="1:13" x14ac:dyDescent="0.2">
      <c r="C10" t="s">
        <v>147</v>
      </c>
      <c r="D10" s="11" t="s">
        <v>148</v>
      </c>
      <c r="E10" t="s">
        <v>151</v>
      </c>
      <c r="L10" s="2"/>
      <c r="M10" s="22" t="s">
        <v>168</v>
      </c>
    </row>
    <row r="11" spans="1:13" x14ac:dyDescent="0.2">
      <c r="A11" s="9" t="s">
        <v>145</v>
      </c>
      <c r="B11" s="9"/>
      <c r="C11" s="9" t="str">
        <f>"as of "&amp;TEXT($M$11,"m/d/yy")</f>
        <v>as of 11/30/18</v>
      </c>
      <c r="D11" s="272" t="s">
        <v>149</v>
      </c>
      <c r="E11" s="9" t="s">
        <v>150</v>
      </c>
      <c r="L11" s="2"/>
      <c r="M11" s="87">
        <f>'[2]Hurr Models'!$C$1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153</v>
      </c>
      <c r="C14" s="213">
        <f>'7.2'!C14</f>
        <v>1598461</v>
      </c>
      <c r="D14" s="293">
        <f>'7.2'!F14</f>
        <v>2.7109999999999999</v>
      </c>
      <c r="E14" s="31">
        <f t="shared" ref="E14:E28" si="0">ROUND(C14*D14,0)</f>
        <v>4333428</v>
      </c>
      <c r="G14" s="19"/>
      <c r="H14" s="19"/>
      <c r="I14" s="19"/>
      <c r="L14" s="2"/>
    </row>
    <row r="15" spans="1:13" x14ac:dyDescent="0.2">
      <c r="A15" t="s">
        <v>154</v>
      </c>
      <c r="C15" s="213">
        <f>'7.2'!C15</f>
        <v>10497828</v>
      </c>
      <c r="D15" s="293">
        <f>'7.2'!F15</f>
        <v>1.746</v>
      </c>
      <c r="E15" s="31">
        <f t="shared" si="0"/>
        <v>18329208</v>
      </c>
      <c r="G15" s="19"/>
      <c r="H15" s="19"/>
      <c r="I15" s="19"/>
      <c r="L15" s="2"/>
    </row>
    <row r="16" spans="1:13" x14ac:dyDescent="0.2">
      <c r="A16" t="s">
        <v>155</v>
      </c>
      <c r="C16" s="213">
        <f>'7.2'!C16</f>
        <v>884696</v>
      </c>
      <c r="D16" s="293">
        <f>'7.2'!F16</f>
        <v>3.2250000000000001</v>
      </c>
      <c r="E16" s="31">
        <f t="shared" si="0"/>
        <v>2853145</v>
      </c>
      <c r="G16" s="19"/>
      <c r="H16" s="19"/>
      <c r="I16" s="19"/>
      <c r="L16" s="2"/>
    </row>
    <row r="17" spans="1:17" x14ac:dyDescent="0.2">
      <c r="A17" t="s">
        <v>156</v>
      </c>
      <c r="C17" s="213">
        <f>'7.2'!C17</f>
        <v>2423053</v>
      </c>
      <c r="D17" s="293">
        <f>'7.2'!F17</f>
        <v>1.7529999999999999</v>
      </c>
      <c r="E17" s="31">
        <f t="shared" si="0"/>
        <v>4247612</v>
      </c>
      <c r="G17" s="19"/>
      <c r="H17" s="19"/>
      <c r="I17" s="19"/>
      <c r="L17" s="2"/>
    </row>
    <row r="18" spans="1:17" x14ac:dyDescent="0.2">
      <c r="A18" t="s">
        <v>157</v>
      </c>
      <c r="C18" s="213">
        <f>'7.2'!C18</f>
        <v>1499444</v>
      </c>
      <c r="D18" s="293">
        <f>'7.2'!F18</f>
        <v>1.722</v>
      </c>
      <c r="E18" s="31">
        <f t="shared" si="0"/>
        <v>2582043</v>
      </c>
      <c r="G18" s="19"/>
      <c r="H18" s="19"/>
      <c r="I18" s="19"/>
      <c r="L18" s="2"/>
    </row>
    <row r="19" spans="1:17" x14ac:dyDescent="0.2">
      <c r="A19" t="s">
        <v>158</v>
      </c>
      <c r="C19" s="213">
        <f>'7.2'!C19</f>
        <v>18651386</v>
      </c>
      <c r="D19" s="293">
        <f>'7.2'!F19</f>
        <v>4.1890000000000001</v>
      </c>
      <c r="E19" s="31">
        <f t="shared" si="0"/>
        <v>78130656</v>
      </c>
      <c r="G19" s="19"/>
      <c r="H19" s="19"/>
      <c r="I19" s="19"/>
      <c r="L19" s="2"/>
      <c r="O19" s="19"/>
      <c r="P19" s="19"/>
      <c r="Q19" s="19"/>
    </row>
    <row r="20" spans="1:17" x14ac:dyDescent="0.2">
      <c r="A20" t="s">
        <v>159</v>
      </c>
      <c r="C20" s="213">
        <f>'7.2'!C20</f>
        <v>1080645</v>
      </c>
      <c r="D20" s="293">
        <f>'7.2'!F20</f>
        <v>4.3579999999999997</v>
      </c>
      <c r="E20" s="31">
        <f t="shared" si="0"/>
        <v>4709451</v>
      </c>
      <c r="G20" s="19"/>
      <c r="H20" s="19"/>
      <c r="I20" s="19"/>
      <c r="L20" s="2"/>
      <c r="O20" s="19"/>
      <c r="P20" s="19"/>
      <c r="Q20" s="19"/>
    </row>
    <row r="21" spans="1:17" x14ac:dyDescent="0.2">
      <c r="A21" t="s">
        <v>160</v>
      </c>
      <c r="C21" s="213">
        <f>'7.2'!C21</f>
        <v>6663167</v>
      </c>
      <c r="D21" s="293">
        <f>'7.2'!F21</f>
        <v>2.0760000000000001</v>
      </c>
      <c r="E21" s="31">
        <f t="shared" si="0"/>
        <v>13832735</v>
      </c>
      <c r="G21" s="19"/>
      <c r="H21" s="19"/>
      <c r="I21" s="19"/>
      <c r="L21" s="2"/>
      <c r="O21" s="19"/>
      <c r="P21" s="19"/>
      <c r="Q21" s="19"/>
    </row>
    <row r="22" spans="1:17" x14ac:dyDescent="0.2">
      <c r="A22" t="s">
        <v>161</v>
      </c>
      <c r="C22" s="213">
        <f>'7.2'!C22</f>
        <v>5620</v>
      </c>
      <c r="D22" s="293">
        <f>'7.2'!F22</f>
        <v>1.0840000000000001</v>
      </c>
      <c r="E22" s="31">
        <f t="shared" si="0"/>
        <v>6092</v>
      </c>
      <c r="G22" s="19"/>
      <c r="H22" s="19"/>
      <c r="I22" s="19"/>
      <c r="L22" s="2"/>
      <c r="O22" s="19"/>
      <c r="P22" s="19"/>
      <c r="Q22" s="19"/>
    </row>
    <row r="23" spans="1:17" x14ac:dyDescent="0.2">
      <c r="A23" t="s">
        <v>162</v>
      </c>
      <c r="B23" s="22"/>
      <c r="C23" s="213">
        <f>'7.2'!C23</f>
        <v>199255</v>
      </c>
      <c r="D23" s="293">
        <f>'7.2'!F23</f>
        <v>0.997</v>
      </c>
      <c r="E23" s="31">
        <f t="shared" si="0"/>
        <v>198657</v>
      </c>
      <c r="G23" s="19"/>
      <c r="H23" s="19"/>
      <c r="I23" s="19"/>
      <c r="L23" s="2"/>
    </row>
    <row r="24" spans="1:17" x14ac:dyDescent="0.2">
      <c r="A24" t="s">
        <v>163</v>
      </c>
      <c r="B24" s="22"/>
      <c r="C24" s="213">
        <f>'7.2'!C24</f>
        <v>1141967</v>
      </c>
      <c r="D24" s="293">
        <f>'7.2'!F24</f>
        <v>2.8479999999999999</v>
      </c>
      <c r="E24" s="31">
        <f t="shared" si="0"/>
        <v>3252322</v>
      </c>
      <c r="G24" s="19"/>
      <c r="H24" s="19"/>
      <c r="I24" s="19"/>
      <c r="L24" s="2"/>
    </row>
    <row r="25" spans="1:17" x14ac:dyDescent="0.2">
      <c r="A25" t="s">
        <v>164</v>
      </c>
      <c r="B25" s="22"/>
      <c r="C25" s="213">
        <f>'7.2'!C25</f>
        <v>10586224</v>
      </c>
      <c r="D25" s="293">
        <f>'7.2'!F25</f>
        <v>2.6269999999999998</v>
      </c>
      <c r="E25" s="31">
        <f>ROUND(C25*D25,0)</f>
        <v>27810010</v>
      </c>
      <c r="G25" s="19"/>
      <c r="H25" s="19"/>
      <c r="I25" s="19"/>
      <c r="L25" s="2"/>
    </row>
    <row r="26" spans="1:17" x14ac:dyDescent="0.2">
      <c r="A26" t="s">
        <v>165</v>
      </c>
      <c r="C26" s="213">
        <f>'7.2'!C26</f>
        <v>78703</v>
      </c>
      <c r="D26" s="293">
        <f>'7.2'!F26</f>
        <v>1.619</v>
      </c>
      <c r="E26" s="31">
        <f t="shared" si="0"/>
        <v>127420</v>
      </c>
      <c r="G26" s="19"/>
      <c r="H26" s="19"/>
      <c r="I26" s="19"/>
      <c r="L26" s="2"/>
    </row>
    <row r="27" spans="1:17" x14ac:dyDescent="0.2">
      <c r="A27" t="s">
        <v>166</v>
      </c>
      <c r="C27" s="213">
        <f>'7.2'!C27</f>
        <v>1774969</v>
      </c>
      <c r="D27" s="293">
        <f>'7.2'!F27</f>
        <v>2.0129999999999999</v>
      </c>
      <c r="E27" s="31">
        <f t="shared" si="0"/>
        <v>3573013</v>
      </c>
      <c r="G27" s="19"/>
      <c r="H27" s="19"/>
      <c r="I27" s="19"/>
      <c r="L27" s="2"/>
    </row>
    <row r="28" spans="1:17" x14ac:dyDescent="0.2">
      <c r="A28" t="s">
        <v>167</v>
      </c>
      <c r="C28" s="213">
        <f>'7.2'!C28</f>
        <v>82347</v>
      </c>
      <c r="D28" s="293">
        <f>'7.2'!F28</f>
        <v>2.1259999999999999</v>
      </c>
      <c r="E28" s="31">
        <f t="shared" si="0"/>
        <v>175070</v>
      </c>
      <c r="G28" s="19"/>
      <c r="H28" s="19"/>
      <c r="I28" s="19"/>
      <c r="L28" s="2"/>
    </row>
    <row r="29" spans="1:17" s="62" customFormat="1" x14ac:dyDescent="0.2">
      <c r="A29" s="9"/>
      <c r="B29" s="26"/>
      <c r="C29" s="214"/>
      <c r="D29" s="294"/>
      <c r="E29" s="32"/>
      <c r="L29" s="2"/>
    </row>
    <row r="30" spans="1:17" x14ac:dyDescent="0.2">
      <c r="C30" s="19"/>
      <c r="D30" s="295"/>
      <c r="E30" s="12"/>
      <c r="L30" s="2"/>
    </row>
    <row r="31" spans="1:17" x14ac:dyDescent="0.2">
      <c r="A31" t="s">
        <v>9</v>
      </c>
      <c r="C31" s="31">
        <f>SUM(C14:C28)</f>
        <v>57167765</v>
      </c>
      <c r="D31" s="293">
        <f>E31/C31*1.03</f>
        <v>2.9577103085978611</v>
      </c>
      <c r="E31" s="31">
        <f>SUM(E14:E28)</f>
        <v>164160862</v>
      </c>
      <c r="G31" s="19"/>
      <c r="H31" s="19"/>
      <c r="I31" s="19"/>
      <c r="L31" s="2"/>
    </row>
    <row r="32" spans="1:17" x14ac:dyDescent="0.2">
      <c r="L32" s="2"/>
    </row>
    <row r="33" spans="1:13" x14ac:dyDescent="0.2">
      <c r="A33" s="58" t="s">
        <v>123</v>
      </c>
      <c r="B33" s="25" t="str">
        <f>'[3]7.1'!$B$33</f>
        <v>Inforce-Premium as of Nov 30, 2018 at Present Rates</v>
      </c>
      <c r="E33" s="31">
        <v>335447380</v>
      </c>
      <c r="I33" s="19"/>
      <c r="L33" s="2"/>
      <c r="M33" s="71">
        <f>'10.2'!$L$25</f>
        <v>43465</v>
      </c>
    </row>
    <row r="34" spans="1:13" x14ac:dyDescent="0.2">
      <c r="A34" s="58" t="s">
        <v>127</v>
      </c>
      <c r="B34" t="s">
        <v>152</v>
      </c>
      <c r="E34" s="20">
        <f>ROUND(E31/E33,3)</f>
        <v>0.48899999999999999</v>
      </c>
      <c r="F34" s="45"/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18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"&amp;'7.2'!$K$1&amp;", "&amp;'7.2'!$K$2</f>
        <v>(3) Exhibit 7, Sheet 2</v>
      </c>
      <c r="L39" s="2"/>
    </row>
    <row r="40" spans="1:13" x14ac:dyDescent="0.2">
      <c r="B40" s="22" t="str">
        <f>E12&amp;" = "&amp;C12&amp;" * "&amp;D12</f>
        <v>(4) = (2) * (3)</v>
      </c>
      <c r="F40" s="63"/>
      <c r="G40" s="23"/>
      <c r="L40" s="2"/>
    </row>
    <row r="41" spans="1:13" x14ac:dyDescent="0.2">
      <c r="B41" s="22" t="str">
        <f>A33&amp;" Provided by TWIA"</f>
        <v>(5) Provided by TWIA</v>
      </c>
      <c r="L41" s="2"/>
    </row>
    <row r="42" spans="1:13" x14ac:dyDescent="0.2">
      <c r="B42" s="22" t="str">
        <f>A34&amp;" = "&amp;E12&amp;" Total / "&amp;A33</f>
        <v>(6) = (4) Total / (5)</v>
      </c>
      <c r="L42" s="2"/>
    </row>
    <row r="43" spans="1:13" s="62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62" customFormat="1" x14ac:dyDescent="0.2">
      <c r="A51"/>
      <c r="B51"/>
      <c r="C51"/>
      <c r="D51"/>
      <c r="E51"/>
      <c r="L51" s="2"/>
    </row>
    <row r="52" spans="1:12" s="62" customFormat="1" x14ac:dyDescent="0.2">
      <c r="L52" s="2"/>
    </row>
    <row r="53" spans="1:12" s="62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2" customFormat="1" x14ac:dyDescent="0.2">
      <c r="L54" s="2"/>
    </row>
    <row r="55" spans="1:12" s="62" customFormat="1" x14ac:dyDescent="0.2">
      <c r="A55" s="68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2" customFormat="1" x14ac:dyDescent="0.2">
      <c r="A56" s="68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2" customFormat="1" x14ac:dyDescent="0.2">
      <c r="A57" s="68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2" customFormat="1" x14ac:dyDescent="0.2">
      <c r="A58" s="68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2" customFormat="1" x14ac:dyDescent="0.2">
      <c r="A59" s="68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2" customFormat="1" x14ac:dyDescent="0.2">
      <c r="A60" s="68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2" customFormat="1" x14ac:dyDescent="0.2">
      <c r="A61" s="68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2" customFormat="1" x14ac:dyDescent="0.2">
      <c r="A62" s="68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2" customFormat="1" x14ac:dyDescent="0.2">
      <c r="A63" s="68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3"/>
      <c r="D64" s="63"/>
      <c r="E64" s="63"/>
      <c r="F64" s="63"/>
      <c r="G64" s="23"/>
      <c r="L64" s="2"/>
    </row>
    <row r="65" spans="1:12" x14ac:dyDescent="0.2">
      <c r="B65" s="25"/>
      <c r="C65" s="63"/>
      <c r="D65" s="63"/>
      <c r="E65" s="63"/>
      <c r="F65" s="63"/>
      <c r="G65" s="23"/>
      <c r="L65" s="2"/>
    </row>
    <row r="66" spans="1:12" x14ac:dyDescent="0.2">
      <c r="B66" s="25"/>
      <c r="C66" s="63"/>
      <c r="D66" s="63"/>
      <c r="E66" s="63"/>
      <c r="F66" s="63"/>
      <c r="G66" s="23"/>
      <c r="L66" s="2"/>
    </row>
    <row r="67" spans="1:12" x14ac:dyDescent="0.2">
      <c r="B67" s="25"/>
      <c r="C67" s="63"/>
      <c r="D67" s="63"/>
      <c r="E67" s="63"/>
      <c r="F67" s="63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/>
  <dimension ref="A1:N69"/>
  <sheetViews>
    <sheetView topLeftCell="A27" zoomScaleNormal="100" workbookViewId="0">
      <selection activeCell="O71" sqref="O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303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173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52" t="s">
        <v>146</v>
      </c>
      <c r="D9" t="s">
        <v>72</v>
      </c>
      <c r="L9" s="2"/>
      <c r="M9" s="27"/>
    </row>
    <row r="10" spans="1:13" x14ac:dyDescent="0.2">
      <c r="C10" t="s">
        <v>147</v>
      </c>
      <c r="D10" t="s">
        <v>169</v>
      </c>
      <c r="E10" t="s">
        <v>329</v>
      </c>
      <c r="F10" t="s">
        <v>148</v>
      </c>
      <c r="L10" s="2"/>
      <c r="M10" s="22" t="s">
        <v>168</v>
      </c>
    </row>
    <row r="11" spans="1:13" x14ac:dyDescent="0.2">
      <c r="A11" s="9" t="s">
        <v>145</v>
      </c>
      <c r="B11" s="9"/>
      <c r="C11" s="9" t="str">
        <f>"as of "&amp;TEXT($M$11,"m/d/yy")</f>
        <v>as of 11/30/18</v>
      </c>
      <c r="D11" s="9" t="s">
        <v>170</v>
      </c>
      <c r="E11" s="9" t="s">
        <v>330</v>
      </c>
      <c r="F11" s="9" t="s">
        <v>149</v>
      </c>
      <c r="L11" s="2"/>
      <c r="M11" s="87">
        <f>'[2]Hurr Models'!$C$1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153</v>
      </c>
      <c r="C14" s="84">
        <f>ROUND('[2]Hurr Models'!F30/1000,0)</f>
        <v>1598461</v>
      </c>
      <c r="D14" s="84">
        <f>ROUND('[2]Hurr Models'!L30,0)</f>
        <v>4316766</v>
      </c>
      <c r="E14" s="39">
        <f>$M$37/10+1</f>
        <v>1.004</v>
      </c>
      <c r="F14" s="39">
        <f>ROUND(D14/C14*E14,3)</f>
        <v>2.7109999999999999</v>
      </c>
      <c r="H14" s="19"/>
      <c r="I14" s="19"/>
      <c r="L14" s="2"/>
      <c r="M14" s="43"/>
    </row>
    <row r="15" spans="1:13" x14ac:dyDescent="0.2">
      <c r="A15" t="s">
        <v>154</v>
      </c>
      <c r="C15" s="84">
        <f>ROUND('[2]Hurr Models'!F31/1000,0)</f>
        <v>10497828</v>
      </c>
      <c r="D15" s="84">
        <f>ROUND('[2]Hurr Models'!L31,0)</f>
        <v>18253087</v>
      </c>
      <c r="E15" s="39">
        <f t="shared" ref="E15:E31" si="0">$M$37/10+1</f>
        <v>1.004</v>
      </c>
      <c r="F15" s="39">
        <f t="shared" ref="F15:F28" si="1">ROUND(D15/C15*E15,3)</f>
        <v>1.746</v>
      </c>
      <c r="H15" s="19"/>
      <c r="I15" s="19"/>
      <c r="L15" s="2"/>
      <c r="M15" s="43"/>
    </row>
    <row r="16" spans="1:13" x14ac:dyDescent="0.2">
      <c r="A16" t="s">
        <v>155</v>
      </c>
      <c r="C16" s="84">
        <f>ROUND('[2]Hurr Models'!F32/1000,0)</f>
        <v>884696</v>
      </c>
      <c r="D16" s="84">
        <f>ROUND('[2]Hurr Models'!L32,0)</f>
        <v>2841463</v>
      </c>
      <c r="E16" s="39">
        <f t="shared" si="0"/>
        <v>1.004</v>
      </c>
      <c r="F16" s="39">
        <f t="shared" si="1"/>
        <v>3.2250000000000001</v>
      </c>
      <c r="H16" s="19"/>
      <c r="I16" s="19"/>
      <c r="L16" s="2"/>
      <c r="M16" s="43"/>
    </row>
    <row r="17" spans="1:13" x14ac:dyDescent="0.2">
      <c r="A17" t="s">
        <v>156</v>
      </c>
      <c r="C17" s="84">
        <f>ROUND('[2]Hurr Models'!F33/1000,0)</f>
        <v>2423053</v>
      </c>
      <c r="D17" s="84">
        <f>ROUND('[2]Hurr Models'!L33,0)</f>
        <v>4230069</v>
      </c>
      <c r="E17" s="39">
        <f t="shared" si="0"/>
        <v>1.004</v>
      </c>
      <c r="F17" s="39">
        <f t="shared" si="1"/>
        <v>1.7529999999999999</v>
      </c>
      <c r="H17" s="19"/>
      <c r="I17" s="19"/>
      <c r="L17" s="2"/>
      <c r="M17" s="43"/>
    </row>
    <row r="18" spans="1:13" x14ac:dyDescent="0.2">
      <c r="A18" t="s">
        <v>157</v>
      </c>
      <c r="C18" s="84">
        <f>ROUND('[2]Hurr Models'!F34/1000,0)</f>
        <v>1499444</v>
      </c>
      <c r="D18" s="84">
        <f>ROUND('[2]Hurr Models'!L34,0)</f>
        <v>2572488</v>
      </c>
      <c r="E18" s="39">
        <f t="shared" si="0"/>
        <v>1.004</v>
      </c>
      <c r="F18" s="39">
        <f t="shared" si="1"/>
        <v>1.722</v>
      </c>
      <c r="H18" s="19"/>
      <c r="I18" s="19"/>
      <c r="L18" s="2"/>
      <c r="M18" s="43"/>
    </row>
    <row r="19" spans="1:13" x14ac:dyDescent="0.2">
      <c r="A19" t="s">
        <v>158</v>
      </c>
      <c r="C19" s="84">
        <f>ROUND('[2]Hurr Models'!F35/1000,0)</f>
        <v>18651386</v>
      </c>
      <c r="D19" s="84">
        <f>ROUND('[2]Hurr Models'!L35,0)</f>
        <v>77821106</v>
      </c>
      <c r="E19" s="39">
        <f t="shared" si="0"/>
        <v>1.004</v>
      </c>
      <c r="F19" s="39">
        <f t="shared" si="1"/>
        <v>4.1890000000000001</v>
      </c>
      <c r="H19" s="19"/>
      <c r="I19" s="19"/>
      <c r="L19" s="2"/>
      <c r="M19" s="43"/>
    </row>
    <row r="20" spans="1:13" x14ac:dyDescent="0.2">
      <c r="A20" t="s">
        <v>159</v>
      </c>
      <c r="C20" s="84">
        <f>ROUND('[2]Hurr Models'!F36/1000,0)</f>
        <v>1080645</v>
      </c>
      <c r="D20" s="84">
        <f>ROUND('[2]Hurr Models'!L36,0)</f>
        <v>4691123</v>
      </c>
      <c r="E20" s="39">
        <f t="shared" si="0"/>
        <v>1.004</v>
      </c>
      <c r="F20" s="39">
        <f t="shared" si="1"/>
        <v>4.3579999999999997</v>
      </c>
      <c r="H20" s="19"/>
      <c r="I20" s="19"/>
      <c r="L20" s="2"/>
      <c r="M20" s="43"/>
    </row>
    <row r="21" spans="1:13" x14ac:dyDescent="0.2">
      <c r="A21" t="s">
        <v>160</v>
      </c>
      <c r="C21" s="84">
        <f>ROUND('[2]Hurr Models'!F37/1000,0)</f>
        <v>6663167</v>
      </c>
      <c r="D21" s="84">
        <f>ROUND('[2]Hurr Models'!L37,0)</f>
        <v>13776645</v>
      </c>
      <c r="E21" s="39">
        <f t="shared" si="0"/>
        <v>1.004</v>
      </c>
      <c r="F21" s="39">
        <f t="shared" si="1"/>
        <v>2.0760000000000001</v>
      </c>
      <c r="H21" s="19"/>
      <c r="I21" s="19"/>
      <c r="L21" s="2"/>
      <c r="M21" s="43"/>
    </row>
    <row r="22" spans="1:13" x14ac:dyDescent="0.2">
      <c r="A22" t="s">
        <v>161</v>
      </c>
      <c r="C22" s="84">
        <f>ROUND('[2]Hurr Models'!F38/1000,0)</f>
        <v>5620</v>
      </c>
      <c r="D22" s="84">
        <f>ROUND('[2]Hurr Models'!L38,0)</f>
        <v>6067</v>
      </c>
      <c r="E22" s="39">
        <f t="shared" si="0"/>
        <v>1.004</v>
      </c>
      <c r="F22" s="39">
        <f t="shared" si="1"/>
        <v>1.0840000000000001</v>
      </c>
      <c r="H22" s="19"/>
      <c r="I22" s="19"/>
      <c r="L22" s="2"/>
      <c r="M22" s="43"/>
    </row>
    <row r="23" spans="1:13" x14ac:dyDescent="0.2">
      <c r="A23" t="s">
        <v>162</v>
      </c>
      <c r="B23" s="22"/>
      <c r="C23" s="84">
        <f>ROUND('[2]Hurr Models'!F39/1000,0)</f>
        <v>199255</v>
      </c>
      <c r="D23" s="84">
        <f>ROUND('[2]Hurr Models'!L39,0)</f>
        <v>197916</v>
      </c>
      <c r="E23" s="39">
        <f t="shared" si="0"/>
        <v>1.004</v>
      </c>
      <c r="F23" s="39">
        <f t="shared" si="1"/>
        <v>0.997</v>
      </c>
      <c r="H23" s="19"/>
      <c r="I23" s="19"/>
      <c r="L23" s="2"/>
      <c r="M23" s="43"/>
    </row>
    <row r="24" spans="1:13" x14ac:dyDescent="0.2">
      <c r="A24" t="s">
        <v>163</v>
      </c>
      <c r="B24" s="22"/>
      <c r="C24" s="84">
        <f>ROUND('[2]Hurr Models'!F40/1000,0)</f>
        <v>1141967</v>
      </c>
      <c r="D24" s="84">
        <f>ROUND('[2]Hurr Models'!L40,0)</f>
        <v>3239774</v>
      </c>
      <c r="E24" s="39">
        <f t="shared" si="0"/>
        <v>1.004</v>
      </c>
      <c r="F24" s="39">
        <f t="shared" si="1"/>
        <v>2.8479999999999999</v>
      </c>
      <c r="H24" s="19"/>
      <c r="I24" s="19"/>
      <c r="L24" s="2"/>
      <c r="M24" s="43"/>
    </row>
    <row r="25" spans="1:13" x14ac:dyDescent="0.2">
      <c r="A25" t="s">
        <v>164</v>
      </c>
      <c r="B25" s="22"/>
      <c r="C25" s="84">
        <f>ROUND('[2]Hurr Models'!F41/1000,0)</f>
        <v>10586224</v>
      </c>
      <c r="D25" s="84">
        <f>ROUND('[2]Hurr Models'!L41,0)</f>
        <v>27703630</v>
      </c>
      <c r="E25" s="39">
        <f t="shared" si="0"/>
        <v>1.004</v>
      </c>
      <c r="F25" s="39">
        <f t="shared" si="1"/>
        <v>2.6269999999999998</v>
      </c>
      <c r="H25" s="19"/>
      <c r="I25" s="19"/>
      <c r="L25" s="2"/>
      <c r="M25" s="43"/>
    </row>
    <row r="26" spans="1:13" x14ac:dyDescent="0.2">
      <c r="A26" t="s">
        <v>165</v>
      </c>
      <c r="C26" s="84">
        <f>ROUND('[2]Hurr Models'!F42/1000,0)</f>
        <v>78703</v>
      </c>
      <c r="D26" s="84">
        <f>ROUND('[2]Hurr Models'!L42,0)</f>
        <v>126893</v>
      </c>
      <c r="E26" s="39">
        <f t="shared" si="0"/>
        <v>1.004</v>
      </c>
      <c r="F26" s="39">
        <f t="shared" si="1"/>
        <v>1.619</v>
      </c>
      <c r="H26" s="19"/>
      <c r="I26" s="19"/>
      <c r="L26" s="2"/>
      <c r="M26" s="43"/>
    </row>
    <row r="27" spans="1:13" x14ac:dyDescent="0.2">
      <c r="A27" t="s">
        <v>166</v>
      </c>
      <c r="C27" s="84">
        <f>ROUND('[2]Hurr Models'!F43/1000,0)</f>
        <v>1774969</v>
      </c>
      <c r="D27" s="84">
        <f>ROUND('[2]Hurr Models'!L43,0)</f>
        <v>3559410</v>
      </c>
      <c r="E27" s="39">
        <f t="shared" si="0"/>
        <v>1.004</v>
      </c>
      <c r="F27" s="39">
        <f t="shared" si="1"/>
        <v>2.0129999999999999</v>
      </c>
      <c r="H27" s="19"/>
      <c r="I27" s="19"/>
      <c r="L27" s="2"/>
      <c r="M27" s="43"/>
    </row>
    <row r="28" spans="1:13" x14ac:dyDescent="0.2">
      <c r="A28" t="s">
        <v>167</v>
      </c>
      <c r="C28" s="84">
        <f>ROUND('[2]Hurr Models'!F44/1000,0)</f>
        <v>82347</v>
      </c>
      <c r="D28" s="84">
        <f>ROUND('[2]Hurr Models'!L44,0)</f>
        <v>174336</v>
      </c>
      <c r="E28" s="39">
        <f t="shared" si="0"/>
        <v>1.004</v>
      </c>
      <c r="F28" s="39">
        <f t="shared" si="1"/>
        <v>2.1259999999999999</v>
      </c>
      <c r="H28" s="19"/>
      <c r="I28" s="19"/>
      <c r="L28" s="2"/>
      <c r="M28" s="43"/>
    </row>
    <row r="29" spans="1:13" x14ac:dyDescent="0.2">
      <c r="A29" s="9"/>
      <c r="B29" s="26"/>
      <c r="C29" s="85"/>
      <c r="D29" s="85"/>
      <c r="E29" s="40"/>
      <c r="F29" s="40"/>
      <c r="G29" s="45"/>
      <c r="H29" s="45"/>
      <c r="I29" s="45"/>
      <c r="J29" s="45"/>
      <c r="K29" s="62"/>
      <c r="L29" s="2"/>
    </row>
    <row r="30" spans="1:13" x14ac:dyDescent="0.2">
      <c r="C30" s="19"/>
      <c r="D30" s="19"/>
      <c r="E30" s="12"/>
      <c r="F30" s="12"/>
      <c r="L30" s="2"/>
    </row>
    <row r="31" spans="1:13" x14ac:dyDescent="0.2">
      <c r="A31" t="s">
        <v>9</v>
      </c>
      <c r="C31" s="31">
        <f>SUM(C14:C28)</f>
        <v>57167765</v>
      </c>
      <c r="D31" s="31">
        <f>SUM(D14:D28)</f>
        <v>163510773</v>
      </c>
      <c r="E31" s="39">
        <f t="shared" si="0"/>
        <v>1.004</v>
      </c>
      <c r="F31" s="39">
        <f>ROUND(D31/C31*E31,3)</f>
        <v>2.8719999999999999</v>
      </c>
      <c r="L31" s="2"/>
    </row>
    <row r="32" spans="1:13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18</v>
      </c>
      <c r="L34" s="2"/>
    </row>
    <row r="35" spans="1:14" x14ac:dyDescent="0.2">
      <c r="B35" s="22" t="str">
        <f>C12&amp;" Provided by TWIA and Geo-coded by AIR"</f>
        <v>(2) Provided by TWIA and Geo-coded by AIR</v>
      </c>
      <c r="L35" s="2"/>
    </row>
    <row r="36" spans="1:14" x14ac:dyDescent="0.2">
      <c r="B36" s="22" t="str">
        <f>D12&amp;" Provided by AIR"</f>
        <v>(3) Provided by AIR</v>
      </c>
      <c r="L36" s="2"/>
    </row>
    <row r="37" spans="1:14" x14ac:dyDescent="0.2">
      <c r="B37" s="22" t="str">
        <f>E12&amp;" = 10% of modeled storm surge increase, estimated to be "&amp;TEXT($M$37,"0.0%")</f>
        <v>(4) = 10% of modeled storm surge increase, estimated to be 4.0%</v>
      </c>
      <c r="F37" s="63"/>
      <c r="G37" s="23"/>
      <c r="L37" s="2"/>
      <c r="M37" s="202">
        <v>0.04</v>
      </c>
      <c r="N37" t="s">
        <v>331</v>
      </c>
    </row>
    <row r="38" spans="1:14" x14ac:dyDescent="0.2">
      <c r="B38" s="22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2"/>
    </row>
    <row r="41" spans="1:14" x14ac:dyDescent="0.2">
      <c r="L41" s="2"/>
    </row>
    <row r="42" spans="1:14" s="62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62" customFormat="1" x14ac:dyDescent="0.2">
      <c r="A43"/>
      <c r="B43"/>
      <c r="C43"/>
      <c r="D43"/>
      <c r="E43"/>
      <c r="F43" s="45"/>
      <c r="G43"/>
      <c r="H43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62" customFormat="1" x14ac:dyDescent="0.2">
      <c r="A51"/>
      <c r="B51"/>
      <c r="C51"/>
      <c r="D51"/>
      <c r="E51"/>
      <c r="L51" s="2"/>
    </row>
    <row r="52" spans="1:12" s="62" customFormat="1" x14ac:dyDescent="0.2">
      <c r="L52" s="2"/>
    </row>
    <row r="53" spans="1:12" s="62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2" customFormat="1" x14ac:dyDescent="0.2">
      <c r="L54" s="2"/>
    </row>
    <row r="55" spans="1:12" s="62" customFormat="1" x14ac:dyDescent="0.2">
      <c r="A55" s="68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2" customFormat="1" x14ac:dyDescent="0.2">
      <c r="A56" s="68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2" customFormat="1" x14ac:dyDescent="0.2">
      <c r="A57" s="68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2" customFormat="1" x14ac:dyDescent="0.2">
      <c r="A58" s="68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2" customFormat="1" x14ac:dyDescent="0.2">
      <c r="A59" s="68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2" customFormat="1" x14ac:dyDescent="0.2">
      <c r="A60" s="68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2" customFormat="1" x14ac:dyDescent="0.2">
      <c r="A61" s="68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2" customFormat="1" x14ac:dyDescent="0.2">
      <c r="A62" s="68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2" customFormat="1" x14ac:dyDescent="0.2">
      <c r="A63" s="68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3"/>
      <c r="D64" s="63"/>
      <c r="E64" s="63"/>
      <c r="F64" s="63"/>
      <c r="G64" s="23"/>
      <c r="L64" s="2"/>
    </row>
    <row r="65" spans="1:12" x14ac:dyDescent="0.2">
      <c r="B65" s="25"/>
      <c r="C65" s="63"/>
      <c r="D65" s="63"/>
      <c r="E65" s="63"/>
      <c r="F65" s="63"/>
      <c r="G65" s="23"/>
      <c r="L65" s="2"/>
    </row>
    <row r="66" spans="1:12" x14ac:dyDescent="0.2">
      <c r="B66" s="25"/>
      <c r="C66" s="63"/>
      <c r="D66" s="63"/>
      <c r="E66" s="63"/>
      <c r="F66" s="63"/>
      <c r="G66" s="23"/>
      <c r="L66" s="2"/>
    </row>
    <row r="67" spans="1:12" x14ac:dyDescent="0.2">
      <c r="B67" s="25"/>
      <c r="C67" s="63"/>
      <c r="D67" s="63"/>
      <c r="E67" s="63"/>
      <c r="F67" s="63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69"/>
  <sheetViews>
    <sheetView zoomScaleNormal="100" workbookViewId="0">
      <selection activeCell="G33" sqref="G33"/>
    </sheetView>
  </sheetViews>
  <sheetFormatPr defaultColWidth="11.33203125" defaultRowHeight="11.25" x14ac:dyDescent="0.2"/>
  <cols>
    <col min="1" max="1" width="2.5" bestFit="1" customWidth="1"/>
    <col min="2" max="2" width="16.6640625" customWidth="1"/>
    <col min="3" max="5" width="15.33203125" customWidth="1"/>
    <col min="6" max="9" width="11.3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J3" s="134"/>
      <c r="K3" s="2"/>
    </row>
    <row r="4" spans="1:12" x14ac:dyDescent="0.2">
      <c r="A4" t="s">
        <v>19</v>
      </c>
      <c r="B4" s="12"/>
      <c r="K4" s="2"/>
    </row>
    <row r="5" spans="1:12" x14ac:dyDescent="0.2">
      <c r="A5" t="s">
        <v>20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  <c r="L8" t="s">
        <v>222</v>
      </c>
    </row>
    <row r="9" spans="1:12" x14ac:dyDescent="0.2">
      <c r="C9" s="24" t="str">
        <f>YEAR($L$9)&amp;" Written Premium"</f>
        <v>2018 Written Premium</v>
      </c>
      <c r="E9" t="s">
        <v>13</v>
      </c>
      <c r="K9" s="2"/>
      <c r="L9" s="309">
        <v>43465</v>
      </c>
    </row>
    <row r="10" spans="1:12" x14ac:dyDescent="0.2">
      <c r="E10" t="s">
        <v>8</v>
      </c>
      <c r="K10" s="2"/>
    </row>
    <row r="11" spans="1:12" x14ac:dyDescent="0.2">
      <c r="A11" s="9" t="s">
        <v>23</v>
      </c>
      <c r="B11" s="9"/>
      <c r="C11" s="9" t="s">
        <v>28</v>
      </c>
      <c r="D11" s="9" t="s">
        <v>29</v>
      </c>
      <c r="E11" s="9" t="s">
        <v>30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">
        <v>24</v>
      </c>
      <c r="C14" s="84">
        <f>ROUND('[2]TWIA 5'!$Y23,0)</f>
        <v>109856744</v>
      </c>
      <c r="D14" s="20">
        <f>C14/C$19</f>
        <v>0.33326623924282772</v>
      </c>
      <c r="E14" s="29">
        <f>'2.2a'!$H$26</f>
        <v>0.11600000000000001</v>
      </c>
      <c r="G14" s="20"/>
      <c r="H14" s="20"/>
      <c r="K14" s="2"/>
    </row>
    <row r="15" spans="1:12" x14ac:dyDescent="0.2">
      <c r="A15" t="s">
        <v>27</v>
      </c>
      <c r="C15" s="84">
        <f>ROUND('[2]TWIA 5'!$Y24,0)</f>
        <v>59905533</v>
      </c>
      <c r="D15" s="20">
        <f>C15/C$19</f>
        <v>0.18173205363475101</v>
      </c>
      <c r="E15" s="29">
        <f>'2.2b'!$H$26</f>
        <v>0.159</v>
      </c>
      <c r="G15" s="20"/>
      <c r="H15" s="20"/>
      <c r="K15" s="2"/>
    </row>
    <row r="16" spans="1:12" x14ac:dyDescent="0.2">
      <c r="A16" t="s">
        <v>26</v>
      </c>
      <c r="C16" s="84">
        <f>ROUND('[2]TWIA 5'!$Y25,0)</f>
        <v>155594490</v>
      </c>
      <c r="D16" s="20">
        <f>C16/C$19</f>
        <v>0.47201827253505496</v>
      </c>
      <c r="E16" s="29">
        <f>'2.2c'!$H$26</f>
        <v>0.155</v>
      </c>
      <c r="G16" s="20"/>
      <c r="H16" s="20"/>
      <c r="K16" s="2"/>
    </row>
    <row r="17" spans="1:11" x14ac:dyDescent="0.2">
      <c r="A17" s="9" t="s">
        <v>25</v>
      </c>
      <c r="B17" s="9"/>
      <c r="C17" s="85">
        <f>ROUND('[2]TWIA 5'!$Y26,0)</f>
        <v>4279815</v>
      </c>
      <c r="D17" s="21">
        <f>C17/C$19</f>
        <v>1.2983434587366277E-2</v>
      </c>
      <c r="E17" s="30">
        <f>'2.2d'!$H$26</f>
        <v>0.104</v>
      </c>
      <c r="G17" s="20"/>
      <c r="H17" s="20"/>
      <c r="K17" s="2"/>
    </row>
    <row r="18" spans="1:11" x14ac:dyDescent="0.2">
      <c r="K18" s="2"/>
    </row>
    <row r="19" spans="1:11" x14ac:dyDescent="0.2">
      <c r="A19" t="s">
        <v>31</v>
      </c>
      <c r="C19" s="19">
        <f>SUM(C14:C17)</f>
        <v>329636582</v>
      </c>
      <c r="D19" s="20">
        <f>SUM(D14:D17)</f>
        <v>1</v>
      </c>
      <c r="E19" s="29">
        <f>ROUND(SUMPRODUCT(D14:D17,E14:E17)/D19,3)</f>
        <v>0.14199999999999999</v>
      </c>
      <c r="K19" s="2"/>
    </row>
    <row r="20" spans="1:11" ht="12" thickBot="1" x14ac:dyDescent="0.25">
      <c r="A20" s="6"/>
      <c r="B20" s="6"/>
      <c r="C20" s="6"/>
      <c r="D20" s="6"/>
      <c r="E20" s="6"/>
      <c r="K20" s="2"/>
    </row>
    <row r="21" spans="1:11" ht="12" thickTop="1" x14ac:dyDescent="0.2">
      <c r="K21" s="2"/>
    </row>
    <row r="22" spans="1:11" x14ac:dyDescent="0.2">
      <c r="A22" t="s">
        <v>18</v>
      </c>
      <c r="K22" s="2"/>
    </row>
    <row r="23" spans="1:11" x14ac:dyDescent="0.2">
      <c r="B23" s="12" t="str">
        <f>C12&amp;" TWIA data"</f>
        <v>(2) TWIA data</v>
      </c>
      <c r="K23" s="2"/>
    </row>
    <row r="24" spans="1:11" x14ac:dyDescent="0.2">
      <c r="B24" s="12" t="str">
        <f>D12&amp;" = "&amp;C12&amp;" / "&amp;C12&amp;" Total"</f>
        <v>(3) = (2) / (2) Total</v>
      </c>
      <c r="K24" s="2"/>
    </row>
    <row r="25" spans="1:11" x14ac:dyDescent="0.2">
      <c r="B25" s="22" t="str">
        <f>E12&amp;" "&amp;'2.2a'!$J$1&amp;", "&amp;'2.2a'!$J$2&amp;" - "&amp;'2.2d'!$J$2</f>
        <v>(4) Exhibit 2, Sheet 2a - Sheet 2d</v>
      </c>
      <c r="K25" s="2"/>
    </row>
    <row r="26" spans="1:11" x14ac:dyDescent="0.2">
      <c r="B26" s="17"/>
      <c r="K26" s="2"/>
    </row>
    <row r="27" spans="1:11" x14ac:dyDescent="0.2">
      <c r="K27" s="2"/>
    </row>
    <row r="28" spans="1:11" x14ac:dyDescent="0.2">
      <c r="K28" s="2"/>
    </row>
    <row r="29" spans="1:11" x14ac:dyDescent="0.2">
      <c r="K29" s="2"/>
    </row>
    <row r="30" spans="1:11" x14ac:dyDescent="0.2">
      <c r="K30" s="2"/>
    </row>
    <row r="31" spans="1:11" x14ac:dyDescent="0.2">
      <c r="K31" s="2"/>
    </row>
    <row r="32" spans="1:11" x14ac:dyDescent="0.2">
      <c r="K32" s="2"/>
    </row>
    <row r="33" spans="11:11" x14ac:dyDescent="0.2">
      <c r="K33" s="2"/>
    </row>
    <row r="34" spans="11:11" x14ac:dyDescent="0.2">
      <c r="K34" s="2"/>
    </row>
    <row r="35" spans="11:11" x14ac:dyDescent="0.2">
      <c r="K35" s="2"/>
    </row>
    <row r="36" spans="11:11" x14ac:dyDescent="0.2">
      <c r="K36" s="2"/>
    </row>
    <row r="37" spans="11:11" x14ac:dyDescent="0.2">
      <c r="K37" s="2"/>
    </row>
    <row r="38" spans="11:11" x14ac:dyDescent="0.2">
      <c r="K38" s="2"/>
    </row>
    <row r="39" spans="11:11" x14ac:dyDescent="0.2">
      <c r="K39" s="2"/>
    </row>
    <row r="40" spans="11:11" x14ac:dyDescent="0.2">
      <c r="K40" s="2"/>
    </row>
    <row r="41" spans="11:11" x14ac:dyDescent="0.2">
      <c r="K41" s="2"/>
    </row>
    <row r="42" spans="11:11" x14ac:dyDescent="0.2">
      <c r="K42" s="2"/>
    </row>
    <row r="43" spans="11:11" x14ac:dyDescent="0.2">
      <c r="K43" s="2"/>
    </row>
    <row r="44" spans="11:11" x14ac:dyDescent="0.2">
      <c r="K44" s="2"/>
    </row>
    <row r="45" spans="11:11" x14ac:dyDescent="0.2">
      <c r="K45" s="2"/>
    </row>
    <row r="46" spans="11:11" x14ac:dyDescent="0.2">
      <c r="K46" s="2"/>
    </row>
    <row r="47" spans="11:11" x14ac:dyDescent="0.2">
      <c r="K47" s="2"/>
    </row>
    <row r="48" spans="1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/>
  <dimension ref="A1:M69"/>
  <sheetViews>
    <sheetView zoomScaleNormal="100" workbookViewId="0">
      <selection activeCell="I44" sqref="I44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171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22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175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52" t="s">
        <v>146</v>
      </c>
      <c r="L9" s="2"/>
      <c r="M9" s="27"/>
    </row>
    <row r="10" spans="1:13" x14ac:dyDescent="0.2">
      <c r="C10" t="s">
        <v>147</v>
      </c>
      <c r="D10" s="11" t="s">
        <v>148</v>
      </c>
      <c r="E10" t="s">
        <v>151</v>
      </c>
      <c r="L10" s="2"/>
      <c r="M10" s="22" t="s">
        <v>168</v>
      </c>
    </row>
    <row r="11" spans="1:13" x14ac:dyDescent="0.2">
      <c r="A11" s="9" t="s">
        <v>145</v>
      </c>
      <c r="B11" s="9"/>
      <c r="C11" s="9" t="str">
        <f>"as of "&amp;TEXT($M$11,"m/d/yy")</f>
        <v>as of 11/30/18</v>
      </c>
      <c r="D11" s="272" t="s">
        <v>149</v>
      </c>
      <c r="E11" s="9" t="s">
        <v>150</v>
      </c>
      <c r="L11" s="2"/>
      <c r="M11" s="52">
        <f>'7.1'!$M$11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153</v>
      </c>
      <c r="C14" s="31">
        <f>'8.2'!C14</f>
        <v>1598461</v>
      </c>
      <c r="D14" s="293">
        <f>'8.2'!F14</f>
        <v>2.4350000000000001</v>
      </c>
      <c r="E14" s="31">
        <f t="shared" ref="E14:E28" si="0">ROUND(C14*D14,0)</f>
        <v>3892253</v>
      </c>
      <c r="L14" s="2"/>
    </row>
    <row r="15" spans="1:13" x14ac:dyDescent="0.2">
      <c r="A15" t="s">
        <v>154</v>
      </c>
      <c r="C15" s="31">
        <f>'8.2'!C15</f>
        <v>10497828</v>
      </c>
      <c r="D15" s="293">
        <f>'8.2'!F15</f>
        <v>1.7210000000000001</v>
      </c>
      <c r="E15" s="31">
        <f t="shared" si="0"/>
        <v>18066762</v>
      </c>
      <c r="L15" s="2"/>
    </row>
    <row r="16" spans="1:13" x14ac:dyDescent="0.2">
      <c r="A16" t="s">
        <v>155</v>
      </c>
      <c r="C16" s="31">
        <f>'8.2'!C16</f>
        <v>884696</v>
      </c>
      <c r="D16" s="293">
        <f>'8.2'!F16</f>
        <v>3.7170000000000001</v>
      </c>
      <c r="E16" s="31">
        <f t="shared" si="0"/>
        <v>3288415</v>
      </c>
      <c r="L16" s="2"/>
    </row>
    <row r="17" spans="1:12" x14ac:dyDescent="0.2">
      <c r="A17" t="s">
        <v>156</v>
      </c>
      <c r="C17" s="31">
        <f>'8.2'!C17</f>
        <v>2423053</v>
      </c>
      <c r="D17" s="293">
        <f>'8.2'!F17</f>
        <v>2.0270000000000001</v>
      </c>
      <c r="E17" s="31">
        <f t="shared" si="0"/>
        <v>4911528</v>
      </c>
      <c r="L17" s="2"/>
    </row>
    <row r="18" spans="1:12" x14ac:dyDescent="0.2">
      <c r="A18" t="s">
        <v>157</v>
      </c>
      <c r="C18" s="31">
        <f>'8.2'!C18</f>
        <v>1499444</v>
      </c>
      <c r="D18" s="293">
        <f>'8.2'!F18</f>
        <v>1.679</v>
      </c>
      <c r="E18" s="31">
        <f t="shared" si="0"/>
        <v>2517566</v>
      </c>
      <c r="L18" s="2"/>
    </row>
    <row r="19" spans="1:12" x14ac:dyDescent="0.2">
      <c r="A19" t="s">
        <v>158</v>
      </c>
      <c r="C19" s="31">
        <f>'8.2'!C19</f>
        <v>18651386</v>
      </c>
      <c r="D19" s="293">
        <f>'8.2'!F19</f>
        <v>3.2090000000000001</v>
      </c>
      <c r="E19" s="31">
        <f t="shared" si="0"/>
        <v>59852298</v>
      </c>
      <c r="L19" s="2"/>
    </row>
    <row r="20" spans="1:12" x14ac:dyDescent="0.2">
      <c r="A20" t="s">
        <v>159</v>
      </c>
      <c r="C20" s="31">
        <f>'8.2'!C20</f>
        <v>1080645</v>
      </c>
      <c r="D20" s="293">
        <f>'8.2'!F20</f>
        <v>2.9350000000000001</v>
      </c>
      <c r="E20" s="31">
        <f t="shared" si="0"/>
        <v>3171693</v>
      </c>
      <c r="L20" s="2"/>
    </row>
    <row r="21" spans="1:12" x14ac:dyDescent="0.2">
      <c r="A21" t="s">
        <v>160</v>
      </c>
      <c r="C21" s="31">
        <f>'8.2'!C21</f>
        <v>6663167</v>
      </c>
      <c r="D21" s="293">
        <f>'8.2'!F21</f>
        <v>1.9490000000000001</v>
      </c>
      <c r="E21" s="31">
        <f t="shared" si="0"/>
        <v>12986512</v>
      </c>
      <c r="L21" s="2"/>
    </row>
    <row r="22" spans="1:12" x14ac:dyDescent="0.2">
      <c r="A22" t="s">
        <v>161</v>
      </c>
      <c r="C22" s="31">
        <f>'8.2'!C22</f>
        <v>5620</v>
      </c>
      <c r="D22" s="293">
        <f>'8.2'!F22</f>
        <v>2.4180000000000001</v>
      </c>
      <c r="E22" s="31">
        <f t="shared" si="0"/>
        <v>13589</v>
      </c>
      <c r="L22" s="2"/>
    </row>
    <row r="23" spans="1:12" x14ac:dyDescent="0.2">
      <c r="A23" t="s">
        <v>162</v>
      </c>
      <c r="B23" s="22"/>
      <c r="C23" s="31">
        <f>'8.2'!C23</f>
        <v>199255</v>
      </c>
      <c r="D23" s="293">
        <f>'8.2'!F23</f>
        <v>1.516</v>
      </c>
      <c r="E23" s="31">
        <f t="shared" si="0"/>
        <v>302071</v>
      </c>
      <c r="L23" s="2"/>
    </row>
    <row r="24" spans="1:12" x14ac:dyDescent="0.2">
      <c r="A24" t="s">
        <v>163</v>
      </c>
      <c r="B24" s="22"/>
      <c r="C24" s="31">
        <f>'8.2'!C24</f>
        <v>1141967</v>
      </c>
      <c r="D24" s="293">
        <f>'8.2'!F24</f>
        <v>2.9180000000000001</v>
      </c>
      <c r="E24" s="31">
        <f t="shared" si="0"/>
        <v>3332260</v>
      </c>
      <c r="L24" s="2"/>
    </row>
    <row r="25" spans="1:12" x14ac:dyDescent="0.2">
      <c r="A25" t="s">
        <v>164</v>
      </c>
      <c r="B25" s="22"/>
      <c r="C25" s="31">
        <f>'8.2'!C25</f>
        <v>10586224</v>
      </c>
      <c r="D25" s="293">
        <f>'8.2'!F25</f>
        <v>2.0950000000000002</v>
      </c>
      <c r="E25" s="31">
        <f t="shared" si="0"/>
        <v>22178139</v>
      </c>
      <c r="L25" s="2"/>
    </row>
    <row r="26" spans="1:12" x14ac:dyDescent="0.2">
      <c r="A26" t="s">
        <v>165</v>
      </c>
      <c r="C26" s="31">
        <f>'8.2'!C26</f>
        <v>78703</v>
      </c>
      <c r="D26" s="293">
        <f>'8.2'!F26</f>
        <v>2.367</v>
      </c>
      <c r="E26" s="31">
        <f t="shared" si="0"/>
        <v>186290</v>
      </c>
      <c r="L26" s="2"/>
    </row>
    <row r="27" spans="1:12" x14ac:dyDescent="0.2">
      <c r="A27" t="s">
        <v>166</v>
      </c>
      <c r="C27" s="31">
        <f>'8.2'!C27</f>
        <v>1774969</v>
      </c>
      <c r="D27" s="293">
        <f>'8.2'!F27</f>
        <v>1.9830000000000001</v>
      </c>
      <c r="E27" s="31">
        <f t="shared" si="0"/>
        <v>3519764</v>
      </c>
      <c r="L27" s="2"/>
    </row>
    <row r="28" spans="1:12" x14ac:dyDescent="0.2">
      <c r="A28" t="s">
        <v>167</v>
      </c>
      <c r="C28" s="31">
        <f>'8.2'!C28</f>
        <v>82347</v>
      </c>
      <c r="D28" s="293">
        <f>'8.2'!F28</f>
        <v>2.8879999999999999</v>
      </c>
      <c r="E28" s="31">
        <f t="shared" si="0"/>
        <v>237818</v>
      </c>
      <c r="L28" s="2"/>
    </row>
    <row r="29" spans="1:12" s="62" customFormat="1" x14ac:dyDescent="0.2">
      <c r="A29" s="9"/>
      <c r="B29" s="26"/>
      <c r="C29" s="32"/>
      <c r="D29" s="294"/>
      <c r="E29" s="32"/>
      <c r="L29" s="2"/>
    </row>
    <row r="30" spans="1:12" x14ac:dyDescent="0.2">
      <c r="C30" s="19"/>
      <c r="D30" s="295"/>
      <c r="E30" s="12"/>
      <c r="L30" s="2"/>
    </row>
    <row r="31" spans="1:12" x14ac:dyDescent="0.2">
      <c r="A31" t="s">
        <v>9</v>
      </c>
      <c r="C31" s="31">
        <f>SUM(C14:C28)</f>
        <v>57167765</v>
      </c>
      <c r="D31" s="293">
        <f>E31/C31</f>
        <v>2.4219410711613443</v>
      </c>
      <c r="E31" s="31">
        <f>SUM(E14:E28)</f>
        <v>138456958</v>
      </c>
      <c r="L31" s="2"/>
    </row>
    <row r="32" spans="1:12" x14ac:dyDescent="0.2">
      <c r="L32" s="2"/>
    </row>
    <row r="33" spans="1:13" x14ac:dyDescent="0.2">
      <c r="A33" s="58" t="s">
        <v>123</v>
      </c>
      <c r="B33" t="str">
        <f>'7.1'!B33</f>
        <v>Inforce-Premium as of Nov 30, 2018 at Present Rates</v>
      </c>
      <c r="E33" s="31">
        <f>'7.1'!E33</f>
        <v>335447380</v>
      </c>
      <c r="L33" s="2"/>
      <c r="M33" s="71">
        <f>'7.1'!$M$33</f>
        <v>43465</v>
      </c>
    </row>
    <row r="34" spans="1:13" x14ac:dyDescent="0.2">
      <c r="A34" s="58" t="s">
        <v>127</v>
      </c>
      <c r="B34" t="s">
        <v>152</v>
      </c>
      <c r="E34" s="20">
        <f>ROUND(E31/E33,3)</f>
        <v>0.41299999999999998</v>
      </c>
      <c r="F34" s="45"/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18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"&amp;'8.2'!$K$1&amp;", "&amp;'8.2'!$K$2</f>
        <v>(3) Exhibit 8, Sheet 2</v>
      </c>
      <c r="L39" s="2"/>
    </row>
    <row r="40" spans="1:13" x14ac:dyDescent="0.2">
      <c r="B40" s="22" t="str">
        <f>E12&amp;" = "&amp;C12&amp;" * "&amp;D12</f>
        <v>(4) = (2) * (3)</v>
      </c>
      <c r="F40" s="63"/>
      <c r="G40" s="23"/>
      <c r="L40" s="2"/>
    </row>
    <row r="41" spans="1:13" x14ac:dyDescent="0.2">
      <c r="B41" s="22" t="str">
        <f>A33&amp;" "&amp;" Provided by TWIA"</f>
        <v>(5)  Provided by TWIA</v>
      </c>
      <c r="L41" s="2"/>
    </row>
    <row r="42" spans="1:13" x14ac:dyDescent="0.2">
      <c r="B42" s="22" t="str">
        <f>A34&amp;" = "&amp;E12&amp;" Total / "&amp;A33&amp;""</f>
        <v>(6) = (4) Total / (5)</v>
      </c>
      <c r="L42" s="2"/>
    </row>
    <row r="43" spans="1:13" s="62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62" customFormat="1" x14ac:dyDescent="0.2">
      <c r="A51"/>
      <c r="B51"/>
      <c r="C51"/>
      <c r="D51"/>
      <c r="E51"/>
      <c r="L51" s="2"/>
    </row>
    <row r="52" spans="1:12" s="62" customFormat="1" x14ac:dyDescent="0.2">
      <c r="L52" s="2"/>
    </row>
    <row r="53" spans="1:12" s="62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2" customFormat="1" x14ac:dyDescent="0.2">
      <c r="L54" s="2"/>
    </row>
    <row r="55" spans="1:12" s="62" customFormat="1" x14ac:dyDescent="0.2">
      <c r="A55" s="68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2" customFormat="1" x14ac:dyDescent="0.2">
      <c r="A56" s="68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62" customFormat="1" x14ac:dyDescent="0.2">
      <c r="A57" s="68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62" customFormat="1" x14ac:dyDescent="0.2">
      <c r="A58" s="68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62" customFormat="1" x14ac:dyDescent="0.2">
      <c r="A59" s="68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62" customFormat="1" x14ac:dyDescent="0.2">
      <c r="A60" s="68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62" customFormat="1" x14ac:dyDescent="0.2">
      <c r="A61" s="68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62" customFormat="1" x14ac:dyDescent="0.2">
      <c r="A62" s="68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62" customFormat="1" x14ac:dyDescent="0.2">
      <c r="A63" s="68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3"/>
      <c r="D64" s="63"/>
      <c r="E64" s="63"/>
      <c r="F64" s="63"/>
      <c r="G64" s="23"/>
      <c r="L64" s="2"/>
    </row>
    <row r="65" spans="1:12" x14ac:dyDescent="0.2">
      <c r="B65" s="25"/>
      <c r="C65" s="63"/>
      <c r="D65" s="63"/>
      <c r="E65" s="63"/>
      <c r="F65" s="63"/>
      <c r="G65" s="23"/>
      <c r="L65" s="2"/>
    </row>
    <row r="66" spans="1:12" x14ac:dyDescent="0.2">
      <c r="B66" s="25"/>
      <c r="C66" s="63"/>
      <c r="D66" s="63"/>
      <c r="E66" s="63"/>
      <c r="F66" s="63"/>
      <c r="G66" s="23"/>
      <c r="L66" s="2"/>
    </row>
    <row r="67" spans="1:12" x14ac:dyDescent="0.2">
      <c r="B67" s="25"/>
      <c r="C67" s="63"/>
      <c r="D67" s="63"/>
      <c r="E67" s="63"/>
      <c r="F67" s="63"/>
      <c r="G67" s="23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/>
  <dimension ref="A1:N71"/>
  <sheetViews>
    <sheetView zoomScaleNormal="100" workbookViewId="0">
      <selection activeCell="I33" sqref="I33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171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176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52" t="s">
        <v>146</v>
      </c>
      <c r="D9" t="s">
        <v>72</v>
      </c>
      <c r="L9" s="2"/>
      <c r="M9" s="27"/>
    </row>
    <row r="10" spans="1:13" x14ac:dyDescent="0.2">
      <c r="C10" t="s">
        <v>147</v>
      </c>
      <c r="D10" t="s">
        <v>169</v>
      </c>
      <c r="E10" t="s">
        <v>329</v>
      </c>
      <c r="F10" t="s">
        <v>148</v>
      </c>
      <c r="L10" s="2"/>
      <c r="M10" s="22" t="s">
        <v>168</v>
      </c>
    </row>
    <row r="11" spans="1:13" x14ac:dyDescent="0.2">
      <c r="A11" s="9" t="s">
        <v>145</v>
      </c>
      <c r="B11" s="9"/>
      <c r="C11" s="9" t="str">
        <f>"as of "&amp;TEXT($M$11,"m/d/yy")</f>
        <v>as of 11/30/18</v>
      </c>
      <c r="D11" s="9" t="s">
        <v>170</v>
      </c>
      <c r="E11" s="9" t="s">
        <v>330</v>
      </c>
      <c r="F11" s="9" t="s">
        <v>149</v>
      </c>
      <c r="L11" s="2"/>
      <c r="M11" s="87">
        <f>'[2]Hurr Models'!$C$1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153</v>
      </c>
      <c r="C14" s="84">
        <f>ROUND('[2]Hurr Models'!F5/1000,0)</f>
        <v>1598461</v>
      </c>
      <c r="D14" s="84">
        <f>ROUND('[2]Hurr Models'!L5,0)</f>
        <v>3824085</v>
      </c>
      <c r="E14" s="39">
        <f t="shared" ref="E14:E28" si="0">(1+$M$37*0.1)</f>
        <v>1.018</v>
      </c>
      <c r="F14" s="39">
        <f>ROUND(D14/C14*E14,3)</f>
        <v>2.4350000000000001</v>
      </c>
      <c r="L14" s="2"/>
      <c r="M14" s="43"/>
    </row>
    <row r="15" spans="1:13" x14ac:dyDescent="0.2">
      <c r="A15" t="s">
        <v>154</v>
      </c>
      <c r="C15" s="84">
        <f>ROUND('[2]Hurr Models'!F6/1000,0)</f>
        <v>10497828</v>
      </c>
      <c r="D15" s="84">
        <f>ROUND('[2]Hurr Models'!L6,0)</f>
        <v>17743716</v>
      </c>
      <c r="E15" s="39">
        <f t="shared" si="0"/>
        <v>1.018</v>
      </c>
      <c r="F15" s="39">
        <f t="shared" ref="F15:F31" si="1">ROUND(D15/C15*E15,3)</f>
        <v>1.7210000000000001</v>
      </c>
      <c r="L15" s="2"/>
      <c r="M15" s="43"/>
    </row>
    <row r="16" spans="1:13" x14ac:dyDescent="0.2">
      <c r="A16" t="s">
        <v>155</v>
      </c>
      <c r="C16" s="84">
        <f>ROUND('[2]Hurr Models'!F7/1000,0)</f>
        <v>884696</v>
      </c>
      <c r="D16" s="84">
        <f>ROUND('[2]Hurr Models'!L7,0)</f>
        <v>3230254</v>
      </c>
      <c r="E16" s="39">
        <f t="shared" si="0"/>
        <v>1.018</v>
      </c>
      <c r="F16" s="39">
        <f t="shared" si="1"/>
        <v>3.7170000000000001</v>
      </c>
      <c r="L16" s="2"/>
      <c r="M16" s="43"/>
    </row>
    <row r="17" spans="1:13" x14ac:dyDescent="0.2">
      <c r="A17" t="s">
        <v>156</v>
      </c>
      <c r="C17" s="84">
        <f>ROUND('[2]Hurr Models'!F8/1000,0)</f>
        <v>2423053</v>
      </c>
      <c r="D17" s="84">
        <f>ROUND('[2]Hurr Models'!L8,0)</f>
        <v>4824412</v>
      </c>
      <c r="E17" s="39">
        <f t="shared" si="0"/>
        <v>1.018</v>
      </c>
      <c r="F17" s="39">
        <f t="shared" si="1"/>
        <v>2.0270000000000001</v>
      </c>
      <c r="L17" s="2"/>
      <c r="M17" s="43"/>
    </row>
    <row r="18" spans="1:13" x14ac:dyDescent="0.2">
      <c r="A18" t="s">
        <v>157</v>
      </c>
      <c r="C18" s="84">
        <f>ROUND('[2]Hurr Models'!F9/1000,0)</f>
        <v>1499444</v>
      </c>
      <c r="D18" s="84">
        <f>ROUND('[2]Hurr Models'!L9,0)</f>
        <v>2473031</v>
      </c>
      <c r="E18" s="39">
        <f t="shared" si="0"/>
        <v>1.018</v>
      </c>
      <c r="F18" s="39">
        <f t="shared" si="1"/>
        <v>1.679</v>
      </c>
      <c r="L18" s="2"/>
      <c r="M18" s="43"/>
    </row>
    <row r="19" spans="1:13" x14ac:dyDescent="0.2">
      <c r="A19" t="s">
        <v>158</v>
      </c>
      <c r="C19" s="84">
        <f>ROUND('[2]Hurr Models'!F10/1000,0)</f>
        <v>18651386</v>
      </c>
      <c r="D19" s="84">
        <f>ROUND('[2]Hurr Models'!L10,0)</f>
        <v>58801343</v>
      </c>
      <c r="E19" s="39">
        <f t="shared" si="0"/>
        <v>1.018</v>
      </c>
      <c r="F19" s="39">
        <f>ROUND(D19/C19*E19,3)</f>
        <v>3.2090000000000001</v>
      </c>
      <c r="L19" s="2"/>
      <c r="M19" s="43"/>
    </row>
    <row r="20" spans="1:13" x14ac:dyDescent="0.2">
      <c r="A20" t="s">
        <v>159</v>
      </c>
      <c r="C20" s="84">
        <f>ROUND('[2]Hurr Models'!F11/1000,0)</f>
        <v>1080645</v>
      </c>
      <c r="D20" s="84">
        <f>ROUND('[2]Hurr Models'!L11,0)</f>
        <v>3115175</v>
      </c>
      <c r="E20" s="39">
        <f t="shared" si="0"/>
        <v>1.018</v>
      </c>
      <c r="F20" s="39">
        <f t="shared" si="1"/>
        <v>2.9350000000000001</v>
      </c>
      <c r="L20" s="2"/>
      <c r="M20" s="43"/>
    </row>
    <row r="21" spans="1:13" x14ac:dyDescent="0.2">
      <c r="A21" t="s">
        <v>160</v>
      </c>
      <c r="C21" s="84">
        <f>ROUND('[2]Hurr Models'!F12/1000,0)</f>
        <v>6663167</v>
      </c>
      <c r="D21" s="84">
        <f>ROUND('[2]Hurr Models'!L12,0)</f>
        <v>12754371</v>
      </c>
      <c r="E21" s="39">
        <f t="shared" si="0"/>
        <v>1.018</v>
      </c>
      <c r="F21" s="39">
        <f t="shared" si="1"/>
        <v>1.9490000000000001</v>
      </c>
      <c r="L21" s="2"/>
      <c r="M21" s="43"/>
    </row>
    <row r="22" spans="1:13" x14ac:dyDescent="0.2">
      <c r="A22" t="s">
        <v>161</v>
      </c>
      <c r="C22" s="84">
        <f>ROUND('[2]Hurr Models'!F13/1000,0)</f>
        <v>5620</v>
      </c>
      <c r="D22" s="84">
        <f>ROUND('[2]Hurr Models'!L13,0)</f>
        <v>13349</v>
      </c>
      <c r="E22" s="39">
        <f t="shared" si="0"/>
        <v>1.018</v>
      </c>
      <c r="F22" s="39">
        <f t="shared" si="1"/>
        <v>2.4180000000000001</v>
      </c>
      <c r="L22" s="2"/>
      <c r="M22" s="43"/>
    </row>
    <row r="23" spans="1:13" x14ac:dyDescent="0.2">
      <c r="A23" t="s">
        <v>162</v>
      </c>
      <c r="B23" s="22"/>
      <c r="C23" s="84">
        <f>ROUND('[2]Hurr Models'!F14/1000,0)</f>
        <v>199255</v>
      </c>
      <c r="D23" s="84">
        <f>ROUND('[2]Hurr Models'!L14,0)</f>
        <v>296734</v>
      </c>
      <c r="E23" s="39">
        <f t="shared" si="0"/>
        <v>1.018</v>
      </c>
      <c r="F23" s="39">
        <f t="shared" si="1"/>
        <v>1.516</v>
      </c>
      <c r="L23" s="2"/>
      <c r="M23" s="43"/>
    </row>
    <row r="24" spans="1:13" x14ac:dyDescent="0.2">
      <c r="A24" t="s">
        <v>163</v>
      </c>
      <c r="B24" s="22"/>
      <c r="C24" s="84">
        <f>ROUND('[2]Hurr Models'!F15/1000,0)</f>
        <v>1141967</v>
      </c>
      <c r="D24" s="84">
        <f>ROUND('[2]Hurr Models'!L15,0)</f>
        <v>3273653</v>
      </c>
      <c r="E24" s="39">
        <f t="shared" si="0"/>
        <v>1.018</v>
      </c>
      <c r="F24" s="39">
        <f t="shared" si="1"/>
        <v>2.9180000000000001</v>
      </c>
      <c r="L24" s="2"/>
      <c r="M24" s="43"/>
    </row>
    <row r="25" spans="1:13" x14ac:dyDescent="0.2">
      <c r="A25" t="s">
        <v>164</v>
      </c>
      <c r="B25" s="22"/>
      <c r="C25" s="84">
        <f>ROUND('[2]Hurr Models'!F16/1000,0)</f>
        <v>10586224</v>
      </c>
      <c r="D25" s="84">
        <f>ROUND('[2]Hurr Models'!L16,0)</f>
        <v>21785951</v>
      </c>
      <c r="E25" s="39">
        <f t="shared" si="0"/>
        <v>1.018</v>
      </c>
      <c r="F25" s="39">
        <f t="shared" si="1"/>
        <v>2.0950000000000002</v>
      </c>
      <c r="L25" s="2"/>
      <c r="M25" s="43"/>
    </row>
    <row r="26" spans="1:13" x14ac:dyDescent="0.2">
      <c r="A26" t="s">
        <v>165</v>
      </c>
      <c r="C26" s="84">
        <f>ROUND('[2]Hurr Models'!F17/1000,0)</f>
        <v>78703</v>
      </c>
      <c r="D26" s="84">
        <f>ROUND('[2]Hurr Models'!L17,0)</f>
        <v>182984</v>
      </c>
      <c r="E26" s="39">
        <f t="shared" si="0"/>
        <v>1.018</v>
      </c>
      <c r="F26" s="39">
        <f t="shared" si="1"/>
        <v>2.367</v>
      </c>
      <c r="L26" s="2"/>
      <c r="M26" s="43"/>
    </row>
    <row r="27" spans="1:13" x14ac:dyDescent="0.2">
      <c r="A27" t="s">
        <v>166</v>
      </c>
      <c r="C27" s="84">
        <f>ROUND('[2]Hurr Models'!F18/1000,0)</f>
        <v>1774969</v>
      </c>
      <c r="D27" s="84">
        <f>ROUND('[2]Hurr Models'!L18,0)</f>
        <v>3457820</v>
      </c>
      <c r="E27" s="39">
        <f t="shared" si="0"/>
        <v>1.018</v>
      </c>
      <c r="F27" s="39">
        <f t="shared" si="1"/>
        <v>1.9830000000000001</v>
      </c>
      <c r="L27" s="2"/>
      <c r="M27" s="43"/>
    </row>
    <row r="28" spans="1:13" x14ac:dyDescent="0.2">
      <c r="A28" t="s">
        <v>167</v>
      </c>
      <c r="C28" s="84">
        <f>ROUND('[2]Hurr Models'!F19/1000,0)</f>
        <v>82347</v>
      </c>
      <c r="D28" s="84">
        <f>ROUND('[2]Hurr Models'!L19,0)</f>
        <v>233584</v>
      </c>
      <c r="E28" s="39">
        <f t="shared" si="0"/>
        <v>1.018</v>
      </c>
      <c r="F28" s="39">
        <f t="shared" si="1"/>
        <v>2.8879999999999999</v>
      </c>
      <c r="L28" s="2"/>
      <c r="M28" s="43"/>
    </row>
    <row r="29" spans="1:13" x14ac:dyDescent="0.2">
      <c r="A29" s="9"/>
      <c r="B29" s="26"/>
      <c r="C29" s="85"/>
      <c r="D29" s="85"/>
      <c r="E29" s="40"/>
      <c r="F29" s="40"/>
      <c r="G29" s="45"/>
      <c r="H29" s="45"/>
      <c r="I29" s="45"/>
      <c r="J29" s="45"/>
      <c r="K29" s="62"/>
      <c r="L29" s="2"/>
    </row>
    <row r="30" spans="1:13" x14ac:dyDescent="0.2">
      <c r="C30" s="19"/>
      <c r="D30" s="19"/>
      <c r="E30" s="12"/>
      <c r="F30" s="12"/>
      <c r="L30" s="2"/>
    </row>
    <row r="31" spans="1:13" x14ac:dyDescent="0.2">
      <c r="A31" t="s">
        <v>9</v>
      </c>
      <c r="C31" s="31">
        <f>SUM(C14:C28)</f>
        <v>57167765</v>
      </c>
      <c r="D31" s="31">
        <f>SUM(D14:D28)</f>
        <v>136010462</v>
      </c>
      <c r="E31" s="39">
        <f>(1+$M$37*0.1)</f>
        <v>1.018</v>
      </c>
      <c r="F31" s="39">
        <f t="shared" si="1"/>
        <v>2.4220000000000002</v>
      </c>
      <c r="L31" s="2"/>
    </row>
    <row r="32" spans="1:13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18</v>
      </c>
      <c r="L34" s="2"/>
    </row>
    <row r="35" spans="1:14" x14ac:dyDescent="0.2">
      <c r="B35" s="22" t="str">
        <f>C12&amp;" Provided by TWIA and Geo-coded by RMS"</f>
        <v>(2) Provided by TWIA and Geo-coded by RMS</v>
      </c>
      <c r="L35" s="2"/>
    </row>
    <row r="36" spans="1:14" x14ac:dyDescent="0.2">
      <c r="B36" s="22" t="str">
        <f>D12&amp;" Provided by RMS"</f>
        <v>(3) Provided by RMS</v>
      </c>
      <c r="L36" s="2"/>
    </row>
    <row r="37" spans="1:14" x14ac:dyDescent="0.2">
      <c r="B37" s="22" t="str">
        <f>E12&amp;" = 10% of modeled storm surge increase, estimated to be "&amp;TEXT($M$37,"0.0%")</f>
        <v>(4) = 10% of modeled storm surge increase, estimated to be 18.0%</v>
      </c>
      <c r="F37" s="63"/>
      <c r="G37" s="23"/>
      <c r="H37" s="23"/>
      <c r="I37" s="23"/>
      <c r="L37" s="2"/>
      <c r="M37" s="202">
        <v>0.18</v>
      </c>
      <c r="N37" t="s">
        <v>332</v>
      </c>
    </row>
    <row r="38" spans="1:14" x14ac:dyDescent="0.2">
      <c r="B38" s="22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2"/>
    </row>
    <row r="41" spans="1:14" x14ac:dyDescent="0.2">
      <c r="L41" s="2"/>
    </row>
    <row r="42" spans="1:14" s="62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62" customFormat="1" x14ac:dyDescent="0.2">
      <c r="A43"/>
      <c r="B43"/>
      <c r="C43"/>
      <c r="D43"/>
      <c r="E43"/>
      <c r="F43" s="45"/>
      <c r="G43"/>
      <c r="H43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62" customFormat="1" x14ac:dyDescent="0.2">
      <c r="A51"/>
      <c r="B51"/>
      <c r="C51"/>
      <c r="D51"/>
      <c r="E51"/>
      <c r="L51" s="2"/>
    </row>
    <row r="52" spans="1:12" s="62" customFormat="1" x14ac:dyDescent="0.2">
      <c r="L52" s="2"/>
    </row>
    <row r="53" spans="1:12" s="62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62" customFormat="1" x14ac:dyDescent="0.2">
      <c r="L54" s="2"/>
    </row>
    <row r="55" spans="1:12" s="62" customFormat="1" x14ac:dyDescent="0.2">
      <c r="A55" s="68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62" customFormat="1" x14ac:dyDescent="0.2">
      <c r="A56" s="68"/>
      <c r="C56" s="29"/>
      <c r="D56" s="29"/>
      <c r="E56" s="29"/>
      <c r="F56" s="29"/>
      <c r="G56" s="29"/>
      <c r="H56" s="29"/>
      <c r="I56" s="29"/>
      <c r="J56" s="29"/>
      <c r="L56" s="2"/>
    </row>
    <row r="57" spans="1:12" s="62" customFormat="1" x14ac:dyDescent="0.2">
      <c r="A57" s="68"/>
      <c r="C57" s="29"/>
      <c r="D57" s="29"/>
      <c r="E57" s="29"/>
      <c r="F57" s="29"/>
      <c r="G57" s="29"/>
      <c r="H57" s="29"/>
      <c r="I57" s="29"/>
      <c r="J57" s="29"/>
      <c r="L57" s="2"/>
    </row>
    <row r="58" spans="1:12" s="62" customFormat="1" x14ac:dyDescent="0.2">
      <c r="A58" s="68"/>
      <c r="C58" s="29"/>
      <c r="D58" s="29"/>
      <c r="E58" s="29"/>
      <c r="F58" s="29"/>
      <c r="G58" s="29"/>
      <c r="H58" s="29"/>
      <c r="I58" s="29"/>
      <c r="J58" s="29"/>
      <c r="L58" s="2"/>
    </row>
    <row r="59" spans="1:12" s="62" customFormat="1" x14ac:dyDescent="0.2">
      <c r="A59" s="68"/>
      <c r="C59" s="29"/>
      <c r="D59" s="29"/>
      <c r="E59" s="29"/>
      <c r="F59" s="29"/>
      <c r="G59" s="29"/>
      <c r="H59" s="29"/>
      <c r="I59" s="29"/>
      <c r="J59" s="29"/>
      <c r="L59" s="2"/>
    </row>
    <row r="60" spans="1:12" s="62" customFormat="1" x14ac:dyDescent="0.2">
      <c r="A60" s="68"/>
      <c r="C60" s="29"/>
      <c r="D60" s="29"/>
      <c r="E60" s="29"/>
      <c r="F60" s="29"/>
      <c r="G60" s="29"/>
      <c r="H60" s="29"/>
      <c r="I60" s="29"/>
      <c r="J60" s="29"/>
      <c r="L60" s="2"/>
    </row>
    <row r="61" spans="1:12" s="62" customFormat="1" x14ac:dyDescent="0.2">
      <c r="A61" s="68"/>
      <c r="C61" s="29"/>
      <c r="D61" s="29"/>
      <c r="E61" s="29"/>
      <c r="F61" s="29"/>
      <c r="G61" s="29"/>
      <c r="H61" s="29"/>
      <c r="I61" s="29"/>
      <c r="J61" s="29"/>
      <c r="L61" s="2"/>
    </row>
    <row r="62" spans="1:12" s="62" customFormat="1" x14ac:dyDescent="0.2">
      <c r="A62" s="68"/>
      <c r="C62" s="29"/>
      <c r="D62" s="29"/>
      <c r="E62" s="29"/>
      <c r="F62" s="29"/>
      <c r="G62" s="29"/>
      <c r="H62" s="29"/>
      <c r="I62" s="29"/>
      <c r="J62" s="29"/>
      <c r="L62" s="2"/>
    </row>
    <row r="63" spans="1:12" x14ac:dyDescent="0.2">
      <c r="B63" s="25"/>
      <c r="C63" s="63"/>
      <c r="D63" s="63"/>
      <c r="E63" s="63"/>
      <c r="F63" s="63"/>
      <c r="G63" s="23"/>
      <c r="H63" s="23"/>
      <c r="I63" s="23"/>
      <c r="L63" s="2"/>
    </row>
    <row r="64" spans="1:12" x14ac:dyDescent="0.2">
      <c r="B64" s="25"/>
      <c r="C64" s="63"/>
      <c r="D64" s="63"/>
      <c r="E64" s="63"/>
      <c r="F64" s="63"/>
      <c r="G64" s="23"/>
      <c r="H64" s="23"/>
      <c r="I64" s="23"/>
      <c r="L64" s="2"/>
    </row>
    <row r="65" spans="1:12" x14ac:dyDescent="0.2">
      <c r="B65" s="25"/>
      <c r="C65" s="63"/>
      <c r="D65" s="63"/>
      <c r="E65" s="63"/>
      <c r="F65" s="63"/>
      <c r="G65" s="23"/>
      <c r="H65" s="23"/>
      <c r="I65" s="23"/>
      <c r="L65" s="2"/>
    </row>
    <row r="66" spans="1:12" x14ac:dyDescent="0.2">
      <c r="B66" s="25"/>
      <c r="C66" s="63"/>
      <c r="D66" s="63"/>
      <c r="E66" s="63"/>
      <c r="F66" s="63"/>
      <c r="G66" s="23"/>
      <c r="H66" s="23"/>
      <c r="I66" s="23"/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  <row r="71" spans="1:12" x14ac:dyDescent="0.2">
      <c r="A71" t="s">
        <v>346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/>
  <dimension ref="A1:M69"/>
  <sheetViews>
    <sheetView topLeftCell="A20" zoomScaleNormal="100" workbookViewId="0">
      <selection activeCell="I65" sqref="I65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3" x14ac:dyDescent="0.2">
      <c r="A1" s="8" t="str">
        <f>'1'!$A$1</f>
        <v>Texas Windstorm Insurance Association</v>
      </c>
      <c r="J1" s="7" t="s">
        <v>174</v>
      </c>
      <c r="K1" s="1"/>
    </row>
    <row r="2" spans="1:13" x14ac:dyDescent="0.2">
      <c r="A2" s="8" t="str">
        <f>'1'!$A$2</f>
        <v>Residential Property - Wind &amp; Hail</v>
      </c>
      <c r="J2" s="7"/>
      <c r="K2" s="2"/>
    </row>
    <row r="3" spans="1:13" x14ac:dyDescent="0.2">
      <c r="A3" s="8" t="str">
        <f>'1'!$A$3</f>
        <v>Rate Level Review</v>
      </c>
      <c r="K3" s="2"/>
      <c r="L3" t="s">
        <v>117</v>
      </c>
      <c r="M3" t="s">
        <v>118</v>
      </c>
    </row>
    <row r="4" spans="1:13" x14ac:dyDescent="0.2">
      <c r="A4" t="str">
        <f>"Texas Hurricanes "&amp;L4&amp;" - "&amp;YEAR(M4)</f>
        <v>Texas Hurricanes 1850 - 2018</v>
      </c>
      <c r="K4" s="2"/>
      <c r="L4" s="27">
        <v>1850</v>
      </c>
      <c r="M4" s="93">
        <v>43465</v>
      </c>
    </row>
    <row r="5" spans="1:13" x14ac:dyDescent="0.2">
      <c r="K5" s="2"/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K7" s="2"/>
    </row>
    <row r="8" spans="1:13" ht="12" thickTop="1" x14ac:dyDescent="0.2">
      <c r="K8" s="2"/>
    </row>
    <row r="9" spans="1:13" x14ac:dyDescent="0.2">
      <c r="B9" s="52"/>
      <c r="K9" s="2"/>
      <c r="L9" s="27"/>
    </row>
    <row r="10" spans="1:13" x14ac:dyDescent="0.2">
      <c r="A10" s="10" t="s">
        <v>300</v>
      </c>
      <c r="E10" s="10" t="s">
        <v>300</v>
      </c>
      <c r="K10" s="2"/>
    </row>
    <row r="11" spans="1:13" x14ac:dyDescent="0.2">
      <c r="A11" s="9" t="s">
        <v>55</v>
      </c>
      <c r="B11" s="9" t="s">
        <v>301</v>
      </c>
      <c r="C11" s="9" t="s">
        <v>178</v>
      </c>
      <c r="E11" s="9" t="s">
        <v>55</v>
      </c>
      <c r="F11" s="9" t="s">
        <v>301</v>
      </c>
      <c r="G11" s="9" t="s">
        <v>178</v>
      </c>
      <c r="K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3" x14ac:dyDescent="0.2">
      <c r="K13" s="2"/>
    </row>
    <row r="14" spans="1:13" x14ac:dyDescent="0.2">
      <c r="A14" s="125">
        <f>IF(LEN('[3]9'!A14),'[3]9'!A14,"")</f>
        <v>1851</v>
      </c>
      <c r="B14" s="125" t="str">
        <f>IF(LEN('[3]9'!B14),'[3]9'!B14,"")</f>
        <v>Jun</v>
      </c>
      <c r="C14" s="125" t="str">
        <f>IF(LEN('[3]9'!C14),'[3]9'!C14,"")</f>
        <v/>
      </c>
      <c r="E14" s="125">
        <f>IF(LEN('[3]9'!E14),'[3]9'!E14,"")</f>
        <v>1929</v>
      </c>
      <c r="F14" s="125" t="str">
        <f>IF(LEN('[3]9'!F14),'[3]9'!F14,"")</f>
        <v>Jun</v>
      </c>
      <c r="G14" s="125" t="str">
        <f>IF(LEN('[3]9'!G14),'[3]9'!G14,"")</f>
        <v/>
      </c>
      <c r="K14" s="2"/>
      <c r="M14" s="71"/>
    </row>
    <row r="15" spans="1:13" x14ac:dyDescent="0.2">
      <c r="A15" s="125">
        <f>IF(LEN('[3]9'!A15),'[3]9'!A15,"")</f>
        <v>1854</v>
      </c>
      <c r="B15" s="125" t="str">
        <f>IF(LEN('[3]9'!B15),'[3]9'!B15,"")</f>
        <v>Jun</v>
      </c>
      <c r="C15" s="125" t="str">
        <f>IF(LEN('[3]9'!C15),'[3]9'!C15,"")</f>
        <v/>
      </c>
      <c r="E15" s="125">
        <f>IF(LEN('[3]9'!E15),'[3]9'!E15,"")</f>
        <v>1932</v>
      </c>
      <c r="F15" s="125" t="str">
        <f>IF(LEN('[3]9'!F15),'[3]9'!F15,"")</f>
        <v>Aug</v>
      </c>
      <c r="G15" s="125" t="str">
        <f>IF(LEN('[3]9'!G15),'[3]9'!G15,"")</f>
        <v>“Freeport”</v>
      </c>
      <c r="K15" s="2"/>
      <c r="M15" s="71"/>
    </row>
    <row r="16" spans="1:13" x14ac:dyDescent="0.2">
      <c r="A16" s="125">
        <f>IF(LEN('[3]9'!A16),'[3]9'!A16,"")</f>
        <v>1854</v>
      </c>
      <c r="B16" s="125" t="str">
        <f>IF(LEN('[3]9'!B16),'[3]9'!B16,"")</f>
        <v>Sep</v>
      </c>
      <c r="C16" s="125" t="str">
        <f>IF(LEN('[3]9'!C16),'[3]9'!C16,"")</f>
        <v>“Matagorda”</v>
      </c>
      <c r="E16" s="125">
        <f>IF(LEN('[3]9'!E16),'[3]9'!E16,"")</f>
        <v>1933</v>
      </c>
      <c r="F16" s="125" t="str">
        <f>IF(LEN('[3]9'!F16),'[3]9'!F16,"")</f>
        <v>Aug</v>
      </c>
      <c r="G16" s="125" t="str">
        <f>IF(LEN('[3]9'!G16),'[3]9'!G16,"")</f>
        <v/>
      </c>
      <c r="K16" s="2"/>
      <c r="M16" s="71"/>
    </row>
    <row r="17" spans="1:13" x14ac:dyDescent="0.2">
      <c r="A17" s="125">
        <f>IF(LEN('[3]9'!A17),'[3]9'!A17,"")</f>
        <v>1865</v>
      </c>
      <c r="B17" s="125" t="str">
        <f>IF(LEN('[3]9'!B17),'[3]9'!B17,"")</f>
        <v>Sep</v>
      </c>
      <c r="C17" s="125" t="str">
        <f>IF(LEN('[3]9'!C17),'[3]9'!C17,"")</f>
        <v>“Sabine River-Lake Calcasieu”</v>
      </c>
      <c r="E17" s="125">
        <f>IF(LEN('[3]9'!E17),'[3]9'!E17,"")</f>
        <v>1933</v>
      </c>
      <c r="F17" s="125" t="str">
        <f>IF(LEN('[3]9'!F17),'[3]9'!F17,"")</f>
        <v>Sep</v>
      </c>
      <c r="G17" s="125" t="str">
        <f>IF(LEN('[3]9'!G17),'[3]9'!G17,"")</f>
        <v/>
      </c>
      <c r="K17" s="2"/>
      <c r="M17" s="71"/>
    </row>
    <row r="18" spans="1:13" x14ac:dyDescent="0.2">
      <c r="A18" s="125">
        <f>IF(LEN('[3]9'!A18),'[3]9'!A18,"")</f>
        <v>1866</v>
      </c>
      <c r="B18" s="125" t="str">
        <f>IF(LEN('[3]9'!B18),'[3]9'!B18,"")</f>
        <v>Jul</v>
      </c>
      <c r="C18" s="125" t="str">
        <f>IF(LEN('[3]9'!C18),'[3]9'!C18,"")</f>
        <v/>
      </c>
      <c r="E18" s="125">
        <f>IF(LEN('[3]9'!E18),'[3]9'!E18,"")</f>
        <v>1934</v>
      </c>
      <c r="F18" s="125" t="str">
        <f>IF(LEN('[3]9'!F18),'[3]9'!F18,"")</f>
        <v>Jul</v>
      </c>
      <c r="G18" s="125" t="str">
        <f>IF(LEN('[3]9'!G18),'[3]9'!G18,"")</f>
        <v/>
      </c>
      <c r="K18" s="2"/>
      <c r="M18" s="71"/>
    </row>
    <row r="19" spans="1:13" x14ac:dyDescent="0.2">
      <c r="A19" s="125">
        <f>IF(LEN('[3]9'!A19),'[3]9'!A19,"")</f>
        <v>1867</v>
      </c>
      <c r="B19" s="125" t="str">
        <f>IF(LEN('[3]9'!B19),'[3]9'!B19,"")</f>
        <v>Oct</v>
      </c>
      <c r="C19" s="125" t="str">
        <f>IF(LEN('[3]9'!C19),'[3]9'!C19,"")</f>
        <v>“Galveston”</v>
      </c>
      <c r="E19" s="125">
        <f>IF(LEN('[3]9'!E19),'[3]9'!E19,"")</f>
        <v>1936</v>
      </c>
      <c r="F19" s="125" t="str">
        <f>IF(LEN('[3]9'!F19),'[3]9'!F19,"")</f>
        <v>Jun</v>
      </c>
      <c r="G19" s="125" t="str">
        <f>IF(LEN('[3]9'!G19),'[3]9'!G19,"")</f>
        <v/>
      </c>
      <c r="K19" s="2"/>
      <c r="M19" s="71"/>
    </row>
    <row r="20" spans="1:13" x14ac:dyDescent="0.2">
      <c r="A20" s="125">
        <f>IF(LEN('[3]9'!A20),'[3]9'!A20,"")</f>
        <v>1869</v>
      </c>
      <c r="B20" s="125" t="str">
        <f>IF(LEN('[3]9'!B20),'[3]9'!B20,"")</f>
        <v>Aug</v>
      </c>
      <c r="C20" s="125" t="str">
        <f>IF(LEN('[3]9'!C20),'[3]9'!C20,"")</f>
        <v>“Lower Texas Coast"</v>
      </c>
      <c r="E20" s="125">
        <f>IF(LEN('[3]9'!E20),'[3]9'!E20,"")</f>
        <v>1940</v>
      </c>
      <c r="F20" s="125" t="str">
        <f>IF(LEN('[3]9'!F20),'[3]9'!F20,"")</f>
        <v>Aug</v>
      </c>
      <c r="G20" s="125" t="str">
        <f>IF(LEN('[3]9'!G20),'[3]9'!G20,"")</f>
        <v/>
      </c>
      <c r="K20" s="2"/>
      <c r="M20" s="71"/>
    </row>
    <row r="21" spans="1:13" x14ac:dyDescent="0.2">
      <c r="A21" s="125">
        <f>IF(LEN('[3]9'!A21),'[3]9'!A21,"")</f>
        <v>1875</v>
      </c>
      <c r="B21" s="125" t="str">
        <f>IF(LEN('[3]9'!B21),'[3]9'!B21,"")</f>
        <v>Sep</v>
      </c>
      <c r="C21" s="125" t="str">
        <f>IF(LEN('[3]9'!C21),'[3]9'!C21,"")</f>
        <v/>
      </c>
      <c r="E21" s="125">
        <f>IF(LEN('[3]9'!E21),'[3]9'!E21,"")</f>
        <v>1941</v>
      </c>
      <c r="F21" s="125" t="str">
        <f>IF(LEN('[3]9'!F21),'[3]9'!F21,"")</f>
        <v>Sep</v>
      </c>
      <c r="G21" s="125" t="str">
        <f>IF(LEN('[3]9'!G21),'[3]9'!G21,"")</f>
        <v/>
      </c>
      <c r="K21" s="2"/>
      <c r="M21" s="71"/>
    </row>
    <row r="22" spans="1:13" x14ac:dyDescent="0.2">
      <c r="A22" s="125">
        <f>IF(LEN('[3]9'!A22),'[3]9'!A22,"")</f>
        <v>1879</v>
      </c>
      <c r="B22" s="125" t="str">
        <f>IF(LEN('[3]9'!B22),'[3]9'!B22,"")</f>
        <v>Aug</v>
      </c>
      <c r="C22" s="125" t="str">
        <f>IF(LEN('[3]9'!C22),'[3]9'!C22,"")</f>
        <v/>
      </c>
      <c r="E22" s="125">
        <f>IF(LEN('[3]9'!E22),'[3]9'!E22,"")</f>
        <v>1942</v>
      </c>
      <c r="F22" s="125" t="str">
        <f>IF(LEN('[3]9'!F22),'[3]9'!F22,"")</f>
        <v>Aug</v>
      </c>
      <c r="G22" s="125" t="str">
        <f>IF(LEN('[3]9'!G22),'[3]9'!G22,"")</f>
        <v/>
      </c>
      <c r="K22" s="2"/>
      <c r="M22" s="71"/>
    </row>
    <row r="23" spans="1:13" x14ac:dyDescent="0.2">
      <c r="A23" s="125">
        <f>IF(LEN('[3]9'!A23),'[3]9'!A23,"")</f>
        <v>1880</v>
      </c>
      <c r="B23" s="125" t="str">
        <f>IF(LEN('[3]9'!B23),'[3]9'!B23,"")</f>
        <v>Aug</v>
      </c>
      <c r="C23" s="125" t="str">
        <f>IF(LEN('[3]9'!C23),'[3]9'!C23,"")</f>
        <v/>
      </c>
      <c r="E23" s="125">
        <f>IF(LEN('[3]9'!E23),'[3]9'!E23,"")</f>
        <v>1942</v>
      </c>
      <c r="F23" s="125" t="str">
        <f>IF(LEN('[3]9'!F23),'[3]9'!F23,"")</f>
        <v>Aug</v>
      </c>
      <c r="G23" s="125" t="str">
        <f>IF(LEN('[3]9'!G23),'[3]9'!G23,"")</f>
        <v/>
      </c>
      <c r="K23" s="2"/>
      <c r="M23" s="71"/>
    </row>
    <row r="24" spans="1:13" x14ac:dyDescent="0.2">
      <c r="A24" s="125">
        <f>IF(LEN('[3]9'!A24),'[3]9'!A24,"")</f>
        <v>1882</v>
      </c>
      <c r="B24" s="125" t="str">
        <f>IF(LEN('[3]9'!B24),'[3]9'!B24,"")</f>
        <v>Sep</v>
      </c>
      <c r="C24" s="125" t="str">
        <f>IF(LEN('[3]9'!C24),'[3]9'!C24,"")</f>
        <v/>
      </c>
      <c r="E24" s="125">
        <f>IF(LEN('[3]9'!E24),'[3]9'!E24,"")</f>
        <v>1943</v>
      </c>
      <c r="F24" s="125" t="str">
        <f>IF(LEN('[3]9'!F24),'[3]9'!F24,"")</f>
        <v>Jul</v>
      </c>
      <c r="G24" s="125" t="str">
        <f>IF(LEN('[3]9'!G24),'[3]9'!G24,"")</f>
        <v/>
      </c>
      <c r="K24" s="2"/>
      <c r="M24" s="71"/>
    </row>
    <row r="25" spans="1:13" x14ac:dyDescent="0.2">
      <c r="A25" s="125">
        <f>IF(LEN('[3]9'!A25),'[3]9'!A25,"")</f>
        <v>1886</v>
      </c>
      <c r="B25" s="125" t="str">
        <f>IF(LEN('[3]9'!B25),'[3]9'!B25,"")</f>
        <v>Jun</v>
      </c>
      <c r="C25" s="125" t="str">
        <f>IF(LEN('[3]9'!C25),'[3]9'!C25,"")</f>
        <v/>
      </c>
      <c r="E25" s="125">
        <f>IF(LEN('[3]9'!E25),'[3]9'!E25,"")</f>
        <v>1945</v>
      </c>
      <c r="F25" s="125" t="str">
        <f>IF(LEN('[3]9'!F25),'[3]9'!F25,"")</f>
        <v>Aug</v>
      </c>
      <c r="G25" s="125" t="str">
        <f>IF(LEN('[3]9'!G25),'[3]9'!G25,"")</f>
        <v/>
      </c>
      <c r="K25" s="2"/>
      <c r="M25" s="71"/>
    </row>
    <row r="26" spans="1:13" x14ac:dyDescent="0.2">
      <c r="A26" s="125">
        <f>IF(LEN('[3]9'!A26),'[3]9'!A26,"")</f>
        <v>1886</v>
      </c>
      <c r="B26" s="125" t="str">
        <f>IF(LEN('[3]9'!B26),'[3]9'!B26,"")</f>
        <v>Aug</v>
      </c>
      <c r="C26" s="125" t="str">
        <f>IF(LEN('[3]9'!C26),'[3]9'!C26,"")</f>
        <v>“Indianola”</v>
      </c>
      <c r="E26" s="125">
        <f>IF(LEN('[3]9'!E26),'[3]9'!E26,"")</f>
        <v>1947</v>
      </c>
      <c r="F26" s="125" t="str">
        <f>IF(LEN('[3]9'!F26),'[3]9'!F26,"")</f>
        <v>Aug</v>
      </c>
      <c r="G26" s="125" t="str">
        <f>IF(LEN('[3]9'!G26),'[3]9'!G26,"")</f>
        <v/>
      </c>
      <c r="K26" s="2"/>
      <c r="M26" s="71"/>
    </row>
    <row r="27" spans="1:13" x14ac:dyDescent="0.2">
      <c r="A27" s="125">
        <f>IF(LEN('[3]9'!A27),'[3]9'!A27,"")</f>
        <v>1886</v>
      </c>
      <c r="B27" s="125" t="str">
        <f>IF(LEN('[3]9'!B27),'[3]9'!B27,"")</f>
        <v>Sep</v>
      </c>
      <c r="C27" s="125" t="str">
        <f>IF(LEN('[3]9'!C27),'[3]9'!C27,"")</f>
        <v/>
      </c>
      <c r="E27" s="125">
        <f>IF(LEN('[3]9'!E27),'[3]9'!E27,"")</f>
        <v>1949</v>
      </c>
      <c r="F27" s="125" t="str">
        <f>IF(LEN('[3]9'!F27),'[3]9'!F27,"")</f>
        <v>Oct</v>
      </c>
      <c r="G27" s="125" t="str">
        <f>IF(LEN('[3]9'!G27),'[3]9'!G27,"")</f>
        <v/>
      </c>
      <c r="K27" s="2"/>
      <c r="M27" s="71"/>
    </row>
    <row r="28" spans="1:13" x14ac:dyDescent="0.2">
      <c r="A28" s="125">
        <f>IF(LEN('[3]9'!A28),'[3]9'!A28,"")</f>
        <v>1886</v>
      </c>
      <c r="B28" s="125" t="str">
        <f>IF(LEN('[3]9'!B28),'[3]9'!B28,"")</f>
        <v>Oct</v>
      </c>
      <c r="C28" s="125" t="str">
        <f>IF(LEN('[3]9'!C28),'[3]9'!C28,"")</f>
        <v/>
      </c>
      <c r="E28" s="125">
        <f>IF(LEN('[3]9'!E28),'[3]9'!E28,"")</f>
        <v>1957</v>
      </c>
      <c r="F28" s="125" t="str">
        <f>IF(LEN('[3]9'!F28),'[3]9'!F28,"")</f>
        <v>Jun</v>
      </c>
      <c r="G28" s="125" t="str">
        <f>IF(LEN('[3]9'!G28),'[3]9'!G28,"")</f>
        <v>Audrey</v>
      </c>
      <c r="K28" s="2"/>
      <c r="M28" s="71"/>
    </row>
    <row r="29" spans="1:13" x14ac:dyDescent="0.2">
      <c r="A29" s="125">
        <f>IF(LEN('[3]9'!A29),'[3]9'!A29,"")</f>
        <v>1887</v>
      </c>
      <c r="B29" s="125" t="str">
        <f>IF(LEN('[3]9'!B29),'[3]9'!B29,"")</f>
        <v>Sep</v>
      </c>
      <c r="C29" s="125" t="str">
        <f>IF(LEN('[3]9'!C29),'[3]9'!C29,"")</f>
        <v/>
      </c>
      <c r="E29" s="125">
        <f>IF(LEN('[3]9'!E29),'[3]9'!E29,"")</f>
        <v>1959</v>
      </c>
      <c r="F29" s="125" t="str">
        <f>IF(LEN('[3]9'!F29),'[3]9'!F29,"")</f>
        <v>Jul</v>
      </c>
      <c r="G29" s="125" t="str">
        <f>IF(LEN('[3]9'!G29),'[3]9'!G29,"")</f>
        <v>Debra</v>
      </c>
      <c r="K29" s="2"/>
      <c r="M29" s="71"/>
    </row>
    <row r="30" spans="1:13" x14ac:dyDescent="0.2">
      <c r="A30" s="125">
        <f>IF(LEN('[3]9'!A30),'[3]9'!A30,"")</f>
        <v>1888</v>
      </c>
      <c r="B30" s="125" t="str">
        <f>IF(LEN('[3]9'!B30),'[3]9'!B30,"")</f>
        <v>Jun</v>
      </c>
      <c r="C30" s="125" t="str">
        <f>IF(LEN('[3]9'!C30),'[3]9'!C30,"")</f>
        <v/>
      </c>
      <c r="E30" s="125">
        <f>IF(LEN('[3]9'!E30),'[3]9'!E30,"")</f>
        <v>1961</v>
      </c>
      <c r="F30" s="125" t="str">
        <f>IF(LEN('[3]9'!F30),'[3]9'!F30,"")</f>
        <v>Sep</v>
      </c>
      <c r="G30" s="125" t="str">
        <f>IF(LEN('[3]9'!G30),'[3]9'!G30,"")</f>
        <v>Carla</v>
      </c>
      <c r="K30" s="2"/>
      <c r="M30" s="71"/>
    </row>
    <row r="31" spans="1:13" x14ac:dyDescent="0.2">
      <c r="A31" s="125">
        <f>IF(LEN('[3]9'!A31),'[3]9'!A31,"")</f>
        <v>1891</v>
      </c>
      <c r="B31" s="125" t="str">
        <f>IF(LEN('[3]9'!B31),'[3]9'!B31,"")</f>
        <v>Jul</v>
      </c>
      <c r="C31" s="125" t="str">
        <f>IF(LEN('[3]9'!C31),'[3]9'!C31,"")</f>
        <v/>
      </c>
      <c r="E31" s="184">
        <f>IF(LEN('[3]9'!E31),'[3]9'!E31,"")</f>
        <v>1963</v>
      </c>
      <c r="F31" s="184" t="str">
        <f>IF(LEN('[3]9'!F31),'[3]9'!F31,"")</f>
        <v>Sep</v>
      </c>
      <c r="G31" s="184" t="str">
        <f>IF(LEN('[3]9'!G31),'[3]9'!G31,"")</f>
        <v>Cindy</v>
      </c>
      <c r="K31" s="2"/>
      <c r="M31" s="71"/>
    </row>
    <row r="32" spans="1:13" x14ac:dyDescent="0.2">
      <c r="A32" s="125">
        <f>IF(LEN('[3]9'!A32),'[3]9'!A32,"")</f>
        <v>1895</v>
      </c>
      <c r="B32" s="125" t="str">
        <f>IF(LEN('[3]9'!B32),'[3]9'!B32,"")</f>
        <v>Aug</v>
      </c>
      <c r="C32" s="125" t="str">
        <f>IF(LEN('[3]9'!C32),'[3]9'!C32,"")</f>
        <v/>
      </c>
      <c r="E32" s="125">
        <f>IF(LEN('[3]9'!E32),'[3]9'!E32,"")</f>
        <v>1967</v>
      </c>
      <c r="F32" s="125" t="str">
        <f>IF(LEN('[3]9'!F32),'[3]9'!F32,"")</f>
        <v>Sep</v>
      </c>
      <c r="G32" s="125" t="str">
        <f>IF(LEN('[3]9'!G32),'[3]9'!G32,"")</f>
        <v>Beulah</v>
      </c>
      <c r="K32" s="2"/>
      <c r="M32" s="71"/>
    </row>
    <row r="33" spans="1:13" x14ac:dyDescent="0.2">
      <c r="A33" s="125">
        <f>IF(LEN('[3]9'!A33),'[3]9'!A33,"")</f>
        <v>1897</v>
      </c>
      <c r="B33" s="125" t="str">
        <f>IF(LEN('[3]9'!B33),'[3]9'!B33,"")</f>
        <v>Sep</v>
      </c>
      <c r="C33" s="125" t="str">
        <f>IF(LEN('[3]9'!C33),'[3]9'!C33,"")</f>
        <v/>
      </c>
      <c r="E33" s="125">
        <f>IF(LEN('[3]9'!E33),'[3]9'!E33,"")</f>
        <v>1970</v>
      </c>
      <c r="F33" s="125" t="str">
        <f>IF(LEN('[3]9'!F33),'[3]9'!F33,"")</f>
        <v>Aug</v>
      </c>
      <c r="G33" s="125" t="str">
        <f>IF(LEN('[3]9'!G33),'[3]9'!G33,"")</f>
        <v>Celia</v>
      </c>
      <c r="K33" s="2"/>
      <c r="M33" s="71"/>
    </row>
    <row r="34" spans="1:13" x14ac:dyDescent="0.2">
      <c r="A34" s="125">
        <f>IF(LEN('[3]9'!A34),'[3]9'!A34,"")</f>
        <v>1900</v>
      </c>
      <c r="B34" s="125" t="str">
        <f>IF(LEN('[3]9'!B34),'[3]9'!B34,"")</f>
        <v>Sep</v>
      </c>
      <c r="C34" s="125" t="str">
        <f>IF(LEN('[3]9'!C34),'[3]9'!C34,"")</f>
        <v>“Galveston”</v>
      </c>
      <c r="E34" s="125">
        <f>IF(LEN('[3]9'!E34),'[3]9'!E34,"")</f>
        <v>1971</v>
      </c>
      <c r="F34" s="125" t="str">
        <f>IF(LEN('[3]9'!F34),'[3]9'!F34,"")</f>
        <v>Sep</v>
      </c>
      <c r="G34" s="125" t="str">
        <f>IF(LEN('[3]9'!G34),'[3]9'!G34,"")</f>
        <v>Fern</v>
      </c>
      <c r="K34" s="2"/>
      <c r="M34" s="71"/>
    </row>
    <row r="35" spans="1:13" x14ac:dyDescent="0.2">
      <c r="A35" s="125">
        <f>IF(LEN('[3]9'!A35),'[3]9'!A35,"")</f>
        <v>1909</v>
      </c>
      <c r="B35" s="125" t="str">
        <f>IF(LEN('[3]9'!B35),'[3]9'!B35,"")</f>
        <v>Jun</v>
      </c>
      <c r="C35" s="125" t="str">
        <f>IF(LEN('[3]9'!C35),'[3]9'!C35,"")</f>
        <v/>
      </c>
      <c r="E35" s="125">
        <f>IF(LEN('[3]9'!E35),'[3]9'!E35,"")</f>
        <v>1980</v>
      </c>
      <c r="F35" s="125" t="str">
        <f>IF(LEN('[3]9'!F35),'[3]9'!F35,"")</f>
        <v>Aug</v>
      </c>
      <c r="G35" s="125" t="str">
        <f>IF(LEN('[3]9'!G35),'[3]9'!G35,"")</f>
        <v>Allen</v>
      </c>
      <c r="K35" s="2"/>
      <c r="M35" s="71"/>
    </row>
    <row r="36" spans="1:13" x14ac:dyDescent="0.2">
      <c r="A36" s="125">
        <f>IF(LEN('[3]9'!A36),'[3]9'!A36,"")</f>
        <v>1909</v>
      </c>
      <c r="B36" s="125" t="str">
        <f>IF(LEN('[3]9'!B36),'[3]9'!B36,"")</f>
        <v>Jul</v>
      </c>
      <c r="C36" s="125" t="str">
        <f>IF(LEN('[3]9'!C36),'[3]9'!C36,"")</f>
        <v>“Velasco”</v>
      </c>
      <c r="E36" s="125">
        <f>IF(LEN('[3]9'!E36),'[3]9'!E36,"")</f>
        <v>1983</v>
      </c>
      <c r="F36" s="125" t="str">
        <f>IF(LEN('[3]9'!F36),'[3]9'!F36,"")</f>
        <v>Aug</v>
      </c>
      <c r="G36" s="125" t="str">
        <f>IF(LEN('[3]9'!G36),'[3]9'!G36,"")</f>
        <v>Alicia</v>
      </c>
      <c r="K36" s="2"/>
      <c r="M36" s="71"/>
    </row>
    <row r="37" spans="1:13" x14ac:dyDescent="0.2">
      <c r="A37" s="125">
        <f>IF(LEN('[3]9'!A37),'[3]9'!A37,"")</f>
        <v>1909</v>
      </c>
      <c r="B37" s="125" t="str">
        <f>IF(LEN('[3]9'!B37),'[3]9'!B37,"")</f>
        <v>Aug</v>
      </c>
      <c r="C37" s="125" t="str">
        <f>IF(LEN('[3]9'!C37),'[3]9'!C37,"")</f>
        <v/>
      </c>
      <c r="E37" s="125">
        <f>IF(LEN('[3]9'!E37),'[3]9'!E37,"")</f>
        <v>1986</v>
      </c>
      <c r="F37" s="125" t="str">
        <f>IF(LEN('[3]9'!F37),'[3]9'!F37,"")</f>
        <v>Jun</v>
      </c>
      <c r="G37" s="125" t="str">
        <f>IF(LEN('[3]9'!G37),'[3]9'!G37,"")</f>
        <v>Bonnie</v>
      </c>
      <c r="K37" s="2"/>
      <c r="M37" s="71"/>
    </row>
    <row r="38" spans="1:13" x14ac:dyDescent="0.2">
      <c r="A38" s="125">
        <f>IF(LEN('[3]9'!A38),'[3]9'!A38,"")</f>
        <v>1910</v>
      </c>
      <c r="B38" s="125" t="str">
        <f>IF(LEN('[3]9'!B38),'[3]9'!B38,"")</f>
        <v>Sep</v>
      </c>
      <c r="C38" s="125" t="str">
        <f>IF(LEN('[3]9'!C38),'[3]9'!C38,"")</f>
        <v/>
      </c>
      <c r="E38" s="125">
        <f>IF(LEN('[3]9'!E38),'[3]9'!E38,"")</f>
        <v>1989</v>
      </c>
      <c r="F38" s="125" t="str">
        <f>IF(LEN('[3]9'!F38),'[3]9'!F38,"")</f>
        <v>Aug</v>
      </c>
      <c r="G38" s="125" t="str">
        <f>IF(LEN('[3]9'!G38),'[3]9'!G38,"")</f>
        <v>Chantal</v>
      </c>
      <c r="K38" s="2"/>
      <c r="M38" s="71"/>
    </row>
    <row r="39" spans="1:13" x14ac:dyDescent="0.2">
      <c r="A39" s="125">
        <f>IF(LEN('[3]9'!A39),'[3]9'!A39,"")</f>
        <v>1912</v>
      </c>
      <c r="B39" s="125" t="str">
        <f>IF(LEN('[3]9'!B39),'[3]9'!B39,"")</f>
        <v>Oct</v>
      </c>
      <c r="C39" s="125" t="str">
        <f>IF(LEN('[3]9'!C39),'[3]9'!C39,"")</f>
        <v/>
      </c>
      <c r="D39" s="45"/>
      <c r="E39" s="125">
        <f>IF(LEN('[3]9'!E39),'[3]9'!E39,"")</f>
        <v>1989</v>
      </c>
      <c r="F39" s="125" t="str">
        <f>IF(LEN('[3]9'!F39),'[3]9'!F39,"")</f>
        <v>Oct</v>
      </c>
      <c r="G39" s="125" t="str">
        <f>IF(LEN('[3]9'!G39),'[3]9'!G39,"")</f>
        <v>Jerry</v>
      </c>
      <c r="H39" s="45"/>
      <c r="I39" s="45"/>
      <c r="J39" s="62"/>
      <c r="K39" s="2"/>
      <c r="M39" s="71"/>
    </row>
    <row r="40" spans="1:13" x14ac:dyDescent="0.2">
      <c r="A40" s="125">
        <f>IF(LEN('[3]9'!A40),'[3]9'!A40,"")</f>
        <v>1913</v>
      </c>
      <c r="B40" s="125" t="str">
        <f>IF(LEN('[3]9'!B40),'[3]9'!B40,"")</f>
        <v>Jun</v>
      </c>
      <c r="C40" s="125" t="str">
        <f>IF(LEN('[3]9'!C40),'[3]9'!C40,"")</f>
        <v/>
      </c>
      <c r="D40" s="62"/>
      <c r="E40" s="125">
        <f>IF(LEN('[3]9'!E40),'[3]9'!E40,"")</f>
        <v>1999</v>
      </c>
      <c r="F40" s="125" t="str">
        <f>IF(LEN('[3]9'!F40),'[3]9'!F40,"")</f>
        <v>Aug</v>
      </c>
      <c r="G40" s="125" t="str">
        <f>IF(LEN('[3]9'!G40),'[3]9'!G40,"")</f>
        <v>Bret</v>
      </c>
      <c r="H40" s="62"/>
      <c r="I40" s="62"/>
      <c r="J40" s="62"/>
      <c r="K40" s="2"/>
      <c r="M40" s="71"/>
    </row>
    <row r="41" spans="1:13" x14ac:dyDescent="0.2">
      <c r="A41" s="125">
        <f>IF(LEN('[3]9'!A41),'[3]9'!A41,"")</f>
        <v>1915</v>
      </c>
      <c r="B41" s="125" t="str">
        <f>IF(LEN('[3]9'!B41),'[3]9'!B41,"")</f>
        <v>Aug</v>
      </c>
      <c r="C41" s="125" t="str">
        <f>IF(LEN('[3]9'!C41),'[3]9'!C41,"")</f>
        <v>“Galveston”</v>
      </c>
      <c r="E41" s="125">
        <f>IF(LEN('[3]9'!E41),'[3]9'!E41,"")</f>
        <v>2003</v>
      </c>
      <c r="F41" s="125" t="str">
        <f>IF(LEN('[3]9'!F41),'[3]9'!F41,"")</f>
        <v>Jul</v>
      </c>
      <c r="G41" s="125" t="str">
        <f>IF(LEN('[3]9'!G41),'[3]9'!G41,"")</f>
        <v>Claudette</v>
      </c>
      <c r="K41" s="2"/>
      <c r="M41" s="71"/>
    </row>
    <row r="42" spans="1:13" s="62" customFormat="1" x14ac:dyDescent="0.2">
      <c r="A42" s="125">
        <f>IF(LEN('[3]9'!A42),'[3]9'!A42,"")</f>
        <v>1916</v>
      </c>
      <c r="B42" s="125" t="str">
        <f>IF(LEN('[3]9'!B42),'[3]9'!B42,"")</f>
        <v>Aug</v>
      </c>
      <c r="C42" s="125" t="str">
        <f>IF(LEN('[3]9'!C42),'[3]9'!C42,"")</f>
        <v/>
      </c>
      <c r="D42"/>
      <c r="E42" s="125">
        <f>IF(LEN('[3]9'!E42),'[3]9'!E42,"")</f>
        <v>2005</v>
      </c>
      <c r="F42" s="125" t="str">
        <f>IF(LEN('[3]9'!F42),'[3]9'!F42,"")</f>
        <v>Sep</v>
      </c>
      <c r="G42" s="125" t="str">
        <f>IF(LEN('[3]9'!G42),'[3]9'!G42,"")</f>
        <v>Rita</v>
      </c>
      <c r="H42"/>
      <c r="I42"/>
      <c r="J42"/>
      <c r="K42" s="2"/>
      <c r="M42" s="77"/>
    </row>
    <row r="43" spans="1:13" s="62" customFormat="1" x14ac:dyDescent="0.2">
      <c r="A43" s="125">
        <f>IF(LEN('[3]9'!A43),'[3]9'!A43,"")</f>
        <v>1919</v>
      </c>
      <c r="B43" s="125" t="str">
        <f>IF(LEN('[3]9'!B43),'[3]9'!B43,"")</f>
        <v>Sep</v>
      </c>
      <c r="C43" s="125" t="str">
        <f>IF(LEN('[3]9'!C43),'[3]9'!C43,"")</f>
        <v/>
      </c>
      <c r="D43"/>
      <c r="E43" s="125">
        <f>IF(LEN('[3]9'!E43),'[3]9'!E43,"")</f>
        <v>2007</v>
      </c>
      <c r="F43" s="125" t="str">
        <f>IF(LEN('[3]9'!F43),'[3]9'!F43,"")</f>
        <v>Sep</v>
      </c>
      <c r="G43" s="125" t="str">
        <f>IF(LEN('[3]9'!G43),'[3]9'!G43,"")</f>
        <v>Humberto</v>
      </c>
      <c r="H43"/>
      <c r="I43"/>
      <c r="J43"/>
      <c r="K43" s="2"/>
      <c r="M43" s="77"/>
    </row>
    <row r="44" spans="1:13" x14ac:dyDescent="0.2">
      <c r="A44" s="125">
        <f>IF(LEN('[3]9'!A44),'[3]9'!A44,"")</f>
        <v>1921</v>
      </c>
      <c r="B44" s="125" t="str">
        <f>IF(LEN('[3]9'!B44),'[3]9'!B44,"")</f>
        <v>Jun</v>
      </c>
      <c r="C44" s="125" t="str">
        <f>IF(LEN('[3]9'!C44),'[3]9'!C44,"")</f>
        <v/>
      </c>
      <c r="E44" s="125">
        <f>IF(LEN('[3]9'!E44),'[3]9'!E44,"")</f>
        <v>2008</v>
      </c>
      <c r="F44" s="125" t="str">
        <f>IF(LEN('[3]9'!F44),'[3]9'!F44,"")</f>
        <v>Jul</v>
      </c>
      <c r="G44" s="125" t="str">
        <f>IF(LEN('[3]9'!G44),'[3]9'!G44,"")</f>
        <v>Dolly</v>
      </c>
      <c r="K44" s="2"/>
      <c r="M44" s="71"/>
    </row>
    <row r="45" spans="1:13" x14ac:dyDescent="0.2">
      <c r="A45" s="125"/>
      <c r="B45" s="125"/>
      <c r="C45" s="125"/>
      <c r="E45" s="125">
        <f>IF(LEN('[3]9'!E45),'[3]9'!E45,"")</f>
        <v>2008</v>
      </c>
      <c r="F45" s="125" t="str">
        <f>IF(LEN('[3]9'!F45),'[3]9'!F45,"")</f>
        <v>Sep</v>
      </c>
      <c r="G45" s="125" t="str">
        <f>IF(LEN('[3]9'!G45),'[3]9'!G45,"")</f>
        <v>Ike</v>
      </c>
      <c r="K45" s="2"/>
      <c r="M45" s="71"/>
    </row>
    <row r="46" spans="1:13" x14ac:dyDescent="0.2">
      <c r="A46" s="9"/>
      <c r="B46" s="9"/>
      <c r="C46" s="9"/>
      <c r="D46" s="9"/>
      <c r="E46" s="184">
        <f>IF(LEN('[3]9'!E46),'[3]9'!E46,"")</f>
        <v>2017</v>
      </c>
      <c r="F46" s="184" t="str">
        <f>IF(LEN('[3]9'!F46),'[3]9'!F46,"")</f>
        <v>Aug</v>
      </c>
      <c r="G46" s="184" t="str">
        <f>IF(LEN('[3]9'!G46),'[3]9'!G46,"")</f>
        <v>Harvey</v>
      </c>
      <c r="H46" s="50"/>
      <c r="K46" s="2"/>
      <c r="M46" s="71"/>
    </row>
    <row r="47" spans="1:13" x14ac:dyDescent="0.2">
      <c r="B47" s="63"/>
      <c r="C47" s="63"/>
      <c r="D47" s="63"/>
      <c r="E47" s="63"/>
      <c r="F47" s="23"/>
      <c r="K47" s="2"/>
    </row>
    <row r="48" spans="1:13" x14ac:dyDescent="0.2">
      <c r="A48" s="72" t="s">
        <v>179</v>
      </c>
      <c r="B48" s="72"/>
      <c r="C48" s="73" t="s">
        <v>180</v>
      </c>
      <c r="D48" s="73" t="s">
        <v>181</v>
      </c>
      <c r="E48" s="73" t="s">
        <v>237</v>
      </c>
      <c r="F48" s="73" t="s">
        <v>182</v>
      </c>
      <c r="G48" s="73"/>
      <c r="K48" s="2"/>
    </row>
    <row r="49" spans="1:13" x14ac:dyDescent="0.2">
      <c r="A49" s="157"/>
      <c r="C49" s="65"/>
      <c r="D49" s="65"/>
      <c r="E49" s="65"/>
      <c r="F49" s="65"/>
      <c r="K49" s="2"/>
    </row>
    <row r="50" spans="1:13" x14ac:dyDescent="0.2">
      <c r="A50" s="75" t="str">
        <f>E50&amp;"-Year"</f>
        <v>53-Year</v>
      </c>
      <c r="C50" s="63" t="str">
        <f>TEXT(DATE(YEAR(M4)-E50,MONTH(M4)+1,1),"m/d/yyyy")&amp;" - "&amp;TEXT(M4,"m/d/yyyy")</f>
        <v>1/1/1966 - 12/31/2018</v>
      </c>
      <c r="D50" s="74">
        <f>SUM(COUNTIF($A$14:$A$44,"&gt;=1970"),COUNTIF($E$14:$E$46,"&gt;=1966"))</f>
        <v>15</v>
      </c>
      <c r="E50" s="74">
        <f>'6.1'!$O$5</f>
        <v>53</v>
      </c>
      <c r="G50" s="185">
        <f>ROUND(D50/E50,3)</f>
        <v>0.28299999999999997</v>
      </c>
      <c r="K50" s="2"/>
    </row>
    <row r="51" spans="1:13" x14ac:dyDescent="0.2">
      <c r="A51" s="75" t="str">
        <f>E51&amp;"-Year"</f>
        <v>168-Year</v>
      </c>
      <c r="C51" s="12" t="str">
        <f>MONTH(M4+1)&amp;"/1/"&amp;YEAR(M4+1)-E51&amp;" - "&amp;TEXT(M4,"m/d/yyyy")</f>
        <v>1/1/1851 - 12/31/2018</v>
      </c>
      <c r="D51" s="76">
        <f>SUM(COUNTA(A14:A44),COUNTA(E14:E46))</f>
        <v>64</v>
      </c>
      <c r="E51" s="159">
        <f>YEAR($M$4)-$L$4</f>
        <v>168</v>
      </c>
      <c r="G51" s="185">
        <f>ROUND(D51/E51,3)</f>
        <v>0.38100000000000001</v>
      </c>
      <c r="K51" s="2"/>
    </row>
    <row r="52" spans="1:13" ht="12" thickBot="1" x14ac:dyDescent="0.25">
      <c r="A52" s="6"/>
      <c r="B52" s="6"/>
      <c r="C52" s="6"/>
      <c r="D52" s="6"/>
      <c r="E52" s="6"/>
      <c r="F52" s="6"/>
      <c r="G52" s="6"/>
      <c r="K52" s="2"/>
    </row>
    <row r="53" spans="1:13" ht="12" thickTop="1" x14ac:dyDescent="0.2">
      <c r="A53" s="50"/>
      <c r="B53" s="50"/>
      <c r="C53" s="50"/>
      <c r="D53" s="50"/>
      <c r="E53" s="50"/>
      <c r="K53" s="2"/>
    </row>
    <row r="54" spans="1:13" x14ac:dyDescent="0.2">
      <c r="A54" s="50" t="s">
        <v>18</v>
      </c>
      <c r="B54" s="50"/>
      <c r="K54" s="2"/>
      <c r="M54" s="71"/>
    </row>
    <row r="55" spans="1:13" x14ac:dyDescent="0.2">
      <c r="A55" s="50"/>
      <c r="B55" s="292" t="str">
        <f>'[3]9'!$B$55</f>
        <v>(1), (2) from NOAA Technical Memorandum NWS TPC-5, updated with actual experience through 2018</v>
      </c>
      <c r="K55" s="2"/>
      <c r="M55" s="71"/>
    </row>
    <row r="56" spans="1:13" x14ac:dyDescent="0.2">
      <c r="K56" s="2"/>
      <c r="M56" s="71"/>
    </row>
    <row r="57" spans="1:13" x14ac:dyDescent="0.2">
      <c r="K57" s="2"/>
      <c r="M57" s="71"/>
    </row>
    <row r="58" spans="1:13" s="62" customFormat="1" x14ac:dyDescent="0.2">
      <c r="A58"/>
      <c r="B58"/>
      <c r="C58"/>
      <c r="D58"/>
      <c r="K58" s="2"/>
      <c r="M58" s="77"/>
    </row>
    <row r="59" spans="1:13" s="62" customFormat="1" x14ac:dyDescent="0.2">
      <c r="A59"/>
      <c r="B59"/>
      <c r="C59"/>
      <c r="K59" s="2"/>
      <c r="M59" s="77"/>
    </row>
    <row r="60" spans="1:13" s="62" customFormat="1" x14ac:dyDescent="0.2">
      <c r="A60"/>
      <c r="B60"/>
      <c r="C60"/>
      <c r="D60" s="45"/>
      <c r="E60" s="45"/>
      <c r="F60" s="45"/>
      <c r="G60" s="45"/>
      <c r="H60" s="45"/>
      <c r="I60" s="45"/>
      <c r="K60" s="2"/>
      <c r="M60" s="77"/>
    </row>
    <row r="61" spans="1:13" s="62" customFormat="1" x14ac:dyDescent="0.2">
      <c r="A61"/>
      <c r="B61"/>
      <c r="C61"/>
      <c r="D61" s="29"/>
      <c r="E61" s="29"/>
      <c r="F61" s="29"/>
      <c r="G61" s="29"/>
      <c r="H61" s="29"/>
      <c r="I61" s="29"/>
      <c r="K61" s="2"/>
    </row>
    <row r="62" spans="1:13" s="62" customFormat="1" x14ac:dyDescent="0.2">
      <c r="A62"/>
      <c r="B62"/>
      <c r="C62"/>
      <c r="F62" s="33"/>
      <c r="G62" s="33"/>
      <c r="H62" s="33"/>
      <c r="I62" s="33"/>
      <c r="K62" s="2"/>
    </row>
    <row r="63" spans="1:13" s="62" customFormat="1" x14ac:dyDescent="0.2">
      <c r="A63"/>
      <c r="B63"/>
      <c r="C63"/>
      <c r="F63" s="33"/>
      <c r="G63" s="33"/>
      <c r="H63" s="33"/>
      <c r="I63" s="33"/>
      <c r="K63" s="2"/>
    </row>
    <row r="64" spans="1:13" x14ac:dyDescent="0.2">
      <c r="C64" s="38"/>
      <c r="D64" s="38"/>
      <c r="E64" s="38"/>
      <c r="F64" s="23"/>
      <c r="K64" s="2"/>
    </row>
    <row r="65" spans="1:11" x14ac:dyDescent="0.2">
      <c r="A65" s="50"/>
      <c r="B65" s="50"/>
      <c r="C65" s="50"/>
      <c r="D65" s="50"/>
      <c r="E65" s="50"/>
      <c r="K65" s="2"/>
    </row>
    <row r="66" spans="1:11" x14ac:dyDescent="0.2">
      <c r="A66" s="50"/>
      <c r="B66" s="50"/>
      <c r="C66" s="50"/>
      <c r="D66" s="50"/>
      <c r="E66" s="50"/>
      <c r="K66" s="2"/>
    </row>
    <row r="67" spans="1:11" x14ac:dyDescent="0.2">
      <c r="A67" s="50"/>
      <c r="B67" s="50"/>
      <c r="C67" s="50"/>
      <c r="D67" s="50"/>
      <c r="E67" s="50"/>
      <c r="K67" s="2"/>
    </row>
    <row r="68" spans="1:11" ht="12" thickBot="1" x14ac:dyDescent="0.25">
      <c r="A68" s="50"/>
      <c r="B68" s="50"/>
      <c r="C68" s="50"/>
      <c r="D68" s="50"/>
      <c r="E68" s="50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/>
  <dimension ref="A1:L67"/>
  <sheetViews>
    <sheetView zoomScaleNormal="100" workbookViewId="0">
      <selection activeCell="F32" sqref="F3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177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184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189</v>
      </c>
      <c r="B4" s="12"/>
      <c r="K4" s="2"/>
    </row>
    <row r="5" spans="1:12" x14ac:dyDescent="0.2">
      <c r="A5" t="s">
        <v>32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2"/>
      <c r="D9" t="s">
        <v>38</v>
      </c>
      <c r="E9" t="s">
        <v>45</v>
      </c>
      <c r="K9" s="2"/>
      <c r="L9" s="27"/>
    </row>
    <row r="10" spans="1:12" x14ac:dyDescent="0.2">
      <c r="C10" t="s">
        <v>335</v>
      </c>
      <c r="D10" t="s">
        <v>337</v>
      </c>
      <c r="E10" t="s">
        <v>43</v>
      </c>
      <c r="K10" s="2"/>
    </row>
    <row r="11" spans="1:12" x14ac:dyDescent="0.2">
      <c r="A11" s="9" t="s">
        <v>55</v>
      </c>
      <c r="B11" s="9"/>
      <c r="C11" s="9" t="s">
        <v>45</v>
      </c>
      <c r="D11" s="26" t="s">
        <v>140</v>
      </c>
      <c r="E11" s="9" t="s">
        <v>140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1" si="0">TEXT(A15-1,"#")</f>
        <v>2009</v>
      </c>
      <c r="B14" s="25"/>
      <c r="C14" s="84">
        <f>ROUND('[2]TICO 2'!O23,0)</f>
        <v>80844468</v>
      </c>
      <c r="D14" s="222">
        <f>'10.2'!D15</f>
        <v>1.4987056675771686</v>
      </c>
      <c r="E14" s="31">
        <f t="shared" ref="E14:E23" si="1">ROUND(C14*D14,0)</f>
        <v>121162062</v>
      </c>
      <c r="K14" s="2"/>
      <c r="L14" s="35"/>
    </row>
    <row r="15" spans="1:12" x14ac:dyDescent="0.2">
      <c r="A15" t="str">
        <f t="shared" si="0"/>
        <v>2010</v>
      </c>
      <c r="B15" s="25"/>
      <c r="C15" s="84">
        <f>ROUND('[2]TICO 2'!O24,0)</f>
        <v>88599807</v>
      </c>
      <c r="D15" s="222">
        <f>'10.2'!D16</f>
        <v>1.4074808531397425</v>
      </c>
      <c r="E15" s="31">
        <f t="shared" si="1"/>
        <v>124702532</v>
      </c>
      <c r="K15" s="2"/>
      <c r="L15" s="35"/>
    </row>
    <row r="16" spans="1:12" x14ac:dyDescent="0.2">
      <c r="A16" t="str">
        <f t="shared" si="0"/>
        <v>2011</v>
      </c>
      <c r="B16" s="25"/>
      <c r="C16" s="84">
        <f>ROUND('[2]TICO 2'!O25,0)</f>
        <v>92287441</v>
      </c>
      <c r="D16" s="222">
        <f>'10.2'!D17</f>
        <v>1.3727166755238378</v>
      </c>
      <c r="E16" s="31">
        <f t="shared" si="1"/>
        <v>126684509</v>
      </c>
      <c r="K16" s="2"/>
      <c r="L16" s="35"/>
    </row>
    <row r="17" spans="1:12" x14ac:dyDescent="0.2">
      <c r="A17" t="str">
        <f t="shared" si="0"/>
        <v>2012</v>
      </c>
      <c r="B17" s="25"/>
      <c r="C17" s="84">
        <f>ROUND('[2]TICO 2'!O26,0)</f>
        <v>98605959</v>
      </c>
      <c r="D17" s="222">
        <f>'10.2'!D18</f>
        <v>1.3073731976777445</v>
      </c>
      <c r="E17" s="31">
        <f t="shared" si="1"/>
        <v>128914788</v>
      </c>
      <c r="K17" s="2"/>
      <c r="L17" s="35"/>
    </row>
    <row r="18" spans="1:12" x14ac:dyDescent="0.2">
      <c r="A18" t="str">
        <f t="shared" si="0"/>
        <v>2013</v>
      </c>
      <c r="B18" s="25"/>
      <c r="C18" s="84">
        <f>ROUND('[2]TICO 2'!O27,0)</f>
        <v>105941027</v>
      </c>
      <c r="D18" s="222">
        <f>'10.2'!D19</f>
        <v>1.2452851041347781</v>
      </c>
      <c r="E18" s="31">
        <f t="shared" si="1"/>
        <v>131926783</v>
      </c>
      <c r="K18" s="2"/>
      <c r="L18" s="35"/>
    </row>
    <row r="19" spans="1:12" x14ac:dyDescent="0.2">
      <c r="A19" t="str">
        <f t="shared" si="0"/>
        <v>2014</v>
      </c>
      <c r="B19" s="25"/>
      <c r="C19" s="84">
        <f>ROUND('[2]TICO 2'!O28,0)</f>
        <v>113521698</v>
      </c>
      <c r="D19" s="222">
        <f>'10.2'!D20</f>
        <v>1.1862347753925764</v>
      </c>
      <c r="E19" s="31">
        <f t="shared" si="1"/>
        <v>134663386</v>
      </c>
      <c r="K19" s="2"/>
      <c r="L19" s="35"/>
    </row>
    <row r="20" spans="1:12" x14ac:dyDescent="0.2">
      <c r="A20" t="str">
        <f t="shared" si="0"/>
        <v>2015</v>
      </c>
      <c r="B20" s="25"/>
      <c r="C20" s="84">
        <f>ROUND('[2]TICO 2'!O29,0)</f>
        <v>121221015</v>
      </c>
      <c r="D20" s="222">
        <f>'10.2'!D21</f>
        <v>1.1299661810216541</v>
      </c>
      <c r="E20" s="31">
        <f t="shared" si="1"/>
        <v>136975647</v>
      </c>
      <c r="K20" s="2"/>
      <c r="L20" s="35"/>
    </row>
    <row r="21" spans="1:12" x14ac:dyDescent="0.2">
      <c r="A21" t="str">
        <f t="shared" si="0"/>
        <v>2016</v>
      </c>
      <c r="B21" s="25"/>
      <c r="C21" s="84">
        <f>ROUND('[2]TICO 2'!O30,0)</f>
        <v>123942872</v>
      </c>
      <c r="D21" s="222">
        <f>'10.2'!D22</f>
        <v>1.0765597532120244</v>
      </c>
      <c r="E21" s="31">
        <f t="shared" si="1"/>
        <v>133431908</v>
      </c>
      <c r="K21" s="2"/>
      <c r="L21" s="35" t="s">
        <v>219</v>
      </c>
    </row>
    <row r="22" spans="1:12" x14ac:dyDescent="0.2">
      <c r="A22" t="str">
        <f>TEXT(A23-1,"#")</f>
        <v>2017</v>
      </c>
      <c r="B22" s="25"/>
      <c r="C22" s="84">
        <f>ROUND('[2]TICO 2'!O31,0)</f>
        <v>120650271</v>
      </c>
      <c r="D22" s="222">
        <f>'10.2'!D23</f>
        <v>1.0500000000000014</v>
      </c>
      <c r="E22" s="31">
        <f t="shared" si="1"/>
        <v>126682785</v>
      </c>
      <c r="K22" s="2"/>
      <c r="L22" s="87">
        <f>'[2]TICO 2'!$E$1</f>
        <v>43373</v>
      </c>
    </row>
    <row r="23" spans="1:12" x14ac:dyDescent="0.2">
      <c r="A23" t="str">
        <f>TEXT(YEAR($L$22),"#")</f>
        <v>2018</v>
      </c>
      <c r="B23" s="25"/>
      <c r="C23" s="84">
        <f>ROUND('[2]TICO 2'!O32,0)</f>
        <v>112717188</v>
      </c>
      <c r="D23" s="222">
        <f>'10.2'!D24</f>
        <v>1.0255439472483592</v>
      </c>
      <c r="E23" s="31">
        <f t="shared" si="1"/>
        <v>115596430</v>
      </c>
      <c r="K23" s="2"/>
    </row>
    <row r="24" spans="1:12" x14ac:dyDescent="0.2">
      <c r="A24" s="9"/>
      <c r="B24" s="26"/>
      <c r="C24" s="85"/>
      <c r="D24" s="37"/>
      <c r="E24" s="70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1058331746</v>
      </c>
      <c r="E26" s="19">
        <f>SUM(E14:E24)</f>
        <v>1280740830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18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B31" s="22" t="str">
        <f>D12&amp;" Provided by TWIA"</f>
        <v>(3) Provided by TWIA</v>
      </c>
      <c r="K31" s="2"/>
    </row>
    <row r="32" spans="1:12" x14ac:dyDescent="0.2">
      <c r="B32" s="22" t="str">
        <f>E12&amp;" = "&amp;C12&amp;" * "&amp;D12</f>
        <v>(4) = (2) * (3)</v>
      </c>
      <c r="K32" s="2"/>
      <c r="L32" s="87"/>
    </row>
    <row r="33" spans="1:11" x14ac:dyDescent="0.2">
      <c r="A33" s="62"/>
      <c r="B33" s="22"/>
      <c r="K33" s="2"/>
    </row>
    <row r="34" spans="1:11" x14ac:dyDescent="0.2">
      <c r="B34" s="22"/>
      <c r="K34" s="2"/>
    </row>
    <row r="35" spans="1:11" x14ac:dyDescent="0.2">
      <c r="B35" s="25"/>
      <c r="K35" s="2"/>
    </row>
    <row r="36" spans="1:11" x14ac:dyDescent="0.2">
      <c r="B36" s="25"/>
      <c r="K36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/>
  <dimension ref="A1:L63"/>
  <sheetViews>
    <sheetView topLeftCell="A19" zoomScaleNormal="100" workbookViewId="0">
      <selection activeCell="K63" sqref="K63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177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186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189</v>
      </c>
      <c r="B4" s="12"/>
      <c r="K4" s="2"/>
    </row>
    <row r="5" spans="1:12" x14ac:dyDescent="0.2">
      <c r="A5" t="s">
        <v>46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2"/>
      <c r="D9" t="s">
        <v>38</v>
      </c>
      <c r="E9" t="s">
        <v>45</v>
      </c>
      <c r="K9" s="2"/>
      <c r="L9" s="27"/>
    </row>
    <row r="10" spans="1:12" x14ac:dyDescent="0.2">
      <c r="C10" t="s">
        <v>335</v>
      </c>
      <c r="D10" t="s">
        <v>337</v>
      </c>
      <c r="E10" t="s">
        <v>43</v>
      </c>
      <c r="K10" s="2"/>
    </row>
    <row r="11" spans="1:12" x14ac:dyDescent="0.2">
      <c r="A11" s="9" t="s">
        <v>55</v>
      </c>
      <c r="B11" s="9"/>
      <c r="C11" s="9" t="s">
        <v>45</v>
      </c>
      <c r="D11" s="26" t="s">
        <v>140</v>
      </c>
      <c r="E11" s="9" t="s">
        <v>140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2'!P23,0)</f>
        <v>43977111</v>
      </c>
      <c r="D14" s="222">
        <f>'10.2'!D15</f>
        <v>1.4987056675771686</v>
      </c>
      <c r="E14" s="31">
        <f t="shared" ref="E14:E23" si="1">ROUND(C14*D14,0)</f>
        <v>65908745</v>
      </c>
      <c r="K14" s="2"/>
      <c r="L14" s="35"/>
    </row>
    <row r="15" spans="1:12" x14ac:dyDescent="0.2">
      <c r="A15" t="str">
        <f t="shared" si="0"/>
        <v>2010</v>
      </c>
      <c r="B15" s="25"/>
      <c r="C15" s="84">
        <f>ROUND('[2]TICO 2'!P24,0)</f>
        <v>49048919</v>
      </c>
      <c r="D15" s="222">
        <f>'10.2'!D16</f>
        <v>1.4074808531397425</v>
      </c>
      <c r="E15" s="31">
        <f t="shared" si="1"/>
        <v>69035414</v>
      </c>
      <c r="K15" s="2"/>
      <c r="L15" s="35"/>
    </row>
    <row r="16" spans="1:12" x14ac:dyDescent="0.2">
      <c r="A16" t="str">
        <f t="shared" si="0"/>
        <v>2011</v>
      </c>
      <c r="B16" s="25"/>
      <c r="C16" s="84">
        <f>ROUND('[2]TICO 2'!P25,0)</f>
        <v>50547302</v>
      </c>
      <c r="D16" s="222">
        <f>'10.2'!D17</f>
        <v>1.3727166755238378</v>
      </c>
      <c r="E16" s="31">
        <f t="shared" si="1"/>
        <v>69387124</v>
      </c>
      <c r="K16" s="2"/>
      <c r="L16" s="35"/>
    </row>
    <row r="17" spans="1:12" x14ac:dyDescent="0.2">
      <c r="A17" t="str">
        <f t="shared" si="0"/>
        <v>2012</v>
      </c>
      <c r="B17" s="25"/>
      <c r="C17" s="84">
        <f>ROUND('[2]TICO 2'!P26,0)</f>
        <v>53841760</v>
      </c>
      <c r="D17" s="222">
        <f>'10.2'!D18</f>
        <v>1.3073731976777445</v>
      </c>
      <c r="E17" s="31">
        <f t="shared" si="1"/>
        <v>70391274</v>
      </c>
      <c r="K17" s="2"/>
      <c r="L17" s="35"/>
    </row>
    <row r="18" spans="1:12" x14ac:dyDescent="0.2">
      <c r="A18" t="str">
        <f t="shared" si="0"/>
        <v>2013</v>
      </c>
      <c r="B18" s="25"/>
      <c r="C18" s="84">
        <f>ROUND('[2]TICO 2'!P27,0)</f>
        <v>57427564</v>
      </c>
      <c r="D18" s="222">
        <f>'10.2'!D19</f>
        <v>1.2452851041347781</v>
      </c>
      <c r="E18" s="31">
        <f t="shared" si="1"/>
        <v>71513690</v>
      </c>
      <c r="K18" s="2"/>
      <c r="L18" s="35"/>
    </row>
    <row r="19" spans="1:12" x14ac:dyDescent="0.2">
      <c r="A19" t="str">
        <f t="shared" si="0"/>
        <v>2014</v>
      </c>
      <c r="B19" s="25"/>
      <c r="C19" s="84">
        <f>ROUND('[2]TICO 2'!P28,0)</f>
        <v>62828148</v>
      </c>
      <c r="D19" s="222">
        <f>'10.2'!D20</f>
        <v>1.1862347753925764</v>
      </c>
      <c r="E19" s="31">
        <f t="shared" si="1"/>
        <v>74528934</v>
      </c>
      <c r="K19" s="2"/>
      <c r="L19" s="35"/>
    </row>
    <row r="20" spans="1:12" x14ac:dyDescent="0.2">
      <c r="A20" t="str">
        <f t="shared" si="0"/>
        <v>2015</v>
      </c>
      <c r="B20" s="25"/>
      <c r="C20" s="84">
        <f>ROUND('[2]TICO 2'!P29,0)</f>
        <v>68716114</v>
      </c>
      <c r="D20" s="222">
        <f>'10.2'!D21</f>
        <v>1.1299661810216541</v>
      </c>
      <c r="E20" s="31">
        <f t="shared" si="1"/>
        <v>77646885</v>
      </c>
      <c r="K20" s="2"/>
      <c r="L20" s="35"/>
    </row>
    <row r="21" spans="1:12" x14ac:dyDescent="0.2">
      <c r="A21" t="str">
        <f t="shared" si="0"/>
        <v>2016</v>
      </c>
      <c r="B21" s="25"/>
      <c r="C21" s="84">
        <f>ROUND('[2]TICO 2'!P30,0)</f>
        <v>71234774</v>
      </c>
      <c r="D21" s="222">
        <f>'10.2'!D22</f>
        <v>1.0765597532120244</v>
      </c>
      <c r="E21" s="31">
        <f t="shared" si="1"/>
        <v>76688491</v>
      </c>
      <c r="K21" s="2"/>
      <c r="L21" s="35" t="s">
        <v>219</v>
      </c>
    </row>
    <row r="22" spans="1:12" x14ac:dyDescent="0.2">
      <c r="A22" t="str">
        <f t="shared" si="0"/>
        <v>2017</v>
      </c>
      <c r="B22" s="25"/>
      <c r="C22" s="84">
        <f>ROUND('[2]TICO 2'!P31,0)</f>
        <v>69126281</v>
      </c>
      <c r="D22" s="222">
        <f>'10.2'!D23</f>
        <v>1.0500000000000014</v>
      </c>
      <c r="E22" s="31">
        <f t="shared" si="1"/>
        <v>72582595</v>
      </c>
      <c r="K22" s="2"/>
      <c r="L22" s="52">
        <f>'10.1a'!$L$22</f>
        <v>43373</v>
      </c>
    </row>
    <row r="23" spans="1:12" x14ac:dyDescent="0.2">
      <c r="A23" t="str">
        <f>TEXT(YEAR($L$22),"#")</f>
        <v>2018</v>
      </c>
      <c r="B23" s="25"/>
      <c r="C23" s="84">
        <f>ROUND('[2]TICO 2'!P32,0)</f>
        <v>63899693</v>
      </c>
      <c r="D23" s="222">
        <f>'10.2'!D24</f>
        <v>1.0255439472483592</v>
      </c>
      <c r="E23" s="31">
        <f t="shared" si="1"/>
        <v>65531943</v>
      </c>
      <c r="K23" s="2"/>
      <c r="L23" s="52"/>
    </row>
    <row r="24" spans="1:12" x14ac:dyDescent="0.2">
      <c r="A24" s="9"/>
      <c r="B24" s="26"/>
      <c r="C24" s="85"/>
      <c r="D24" s="37"/>
      <c r="E24" s="70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590647666</v>
      </c>
      <c r="E26" s="19">
        <f>SUM(E14:E24)</f>
        <v>713215095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18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A31" s="62"/>
      <c r="B31" s="22" t="str">
        <f>D12&amp;" Provided by TWIA"</f>
        <v>(3) Provided by TWIA</v>
      </c>
      <c r="K31" s="2"/>
    </row>
    <row r="32" spans="1:12" x14ac:dyDescent="0.2">
      <c r="A32" s="62"/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K35" s="2"/>
    </row>
    <row r="36" spans="2:11" x14ac:dyDescent="0.2">
      <c r="B36" s="25"/>
      <c r="K36" s="2"/>
    </row>
    <row r="37" spans="2:11" x14ac:dyDescent="0.2">
      <c r="B37" s="25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ht="12" thickBot="1" x14ac:dyDescent="0.25">
      <c r="K62" s="2"/>
    </row>
    <row r="63" spans="1:11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/>
  <dimension ref="A1:L67"/>
  <sheetViews>
    <sheetView topLeftCell="E10" zoomScaleNormal="100" workbookViewId="0">
      <selection activeCell="U55" sqref="U55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177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187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189</v>
      </c>
      <c r="B4" s="12"/>
      <c r="K4" s="2"/>
    </row>
    <row r="5" spans="1:12" x14ac:dyDescent="0.2">
      <c r="A5" t="s">
        <v>48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D8" s="25"/>
      <c r="K8" s="2"/>
    </row>
    <row r="9" spans="1:12" x14ac:dyDescent="0.2">
      <c r="C9" s="22"/>
      <c r="D9" t="s">
        <v>38</v>
      </c>
      <c r="E9" t="s">
        <v>45</v>
      </c>
      <c r="K9" s="2"/>
      <c r="L9" s="27"/>
    </row>
    <row r="10" spans="1:12" x14ac:dyDescent="0.2">
      <c r="C10" t="s">
        <v>335</v>
      </c>
      <c r="D10" t="s">
        <v>337</v>
      </c>
      <c r="E10" t="s">
        <v>43</v>
      </c>
      <c r="K10" s="2"/>
    </row>
    <row r="11" spans="1:12" x14ac:dyDescent="0.2">
      <c r="A11" s="9" t="s">
        <v>55</v>
      </c>
      <c r="B11" s="9"/>
      <c r="C11" s="9" t="s">
        <v>45</v>
      </c>
      <c r="D11" s="26" t="s">
        <v>140</v>
      </c>
      <c r="E11" s="9" t="s">
        <v>140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2'!Q23,0)</f>
        <v>116551972</v>
      </c>
      <c r="D14" s="222">
        <f>'10.2'!D15</f>
        <v>1.4987056675771686</v>
      </c>
      <c r="E14" s="31">
        <f t="shared" ref="E14:E22" si="1">ROUND(C14*D14,0)</f>
        <v>174677101</v>
      </c>
      <c r="K14" s="2"/>
      <c r="L14" s="35"/>
    </row>
    <row r="15" spans="1:12" x14ac:dyDescent="0.2">
      <c r="A15" t="str">
        <f t="shared" si="0"/>
        <v>2010</v>
      </c>
      <c r="B15" s="25"/>
      <c r="C15" s="84">
        <f>ROUND('[2]TICO 2'!Q24,0)</f>
        <v>131679293</v>
      </c>
      <c r="D15" s="222">
        <f>'10.2'!D16</f>
        <v>1.4074808531397425</v>
      </c>
      <c r="E15" s="31">
        <f t="shared" si="1"/>
        <v>185336084</v>
      </c>
      <c r="K15" s="2"/>
      <c r="L15" s="35"/>
    </row>
    <row r="16" spans="1:12" x14ac:dyDescent="0.2">
      <c r="A16" t="str">
        <f t="shared" si="0"/>
        <v>2011</v>
      </c>
      <c r="B16" s="25"/>
      <c r="C16" s="84">
        <f>ROUND('[2]TICO 2'!Q25,0)</f>
        <v>140621661</v>
      </c>
      <c r="D16" s="222">
        <f>'10.2'!D17</f>
        <v>1.3727166755238378</v>
      </c>
      <c r="E16" s="31">
        <f t="shared" si="1"/>
        <v>193033699</v>
      </c>
      <c r="K16" s="2"/>
      <c r="L16" s="35"/>
    </row>
    <row r="17" spans="1:12" x14ac:dyDescent="0.2">
      <c r="A17" t="str">
        <f t="shared" si="0"/>
        <v>2012</v>
      </c>
      <c r="B17" s="25"/>
      <c r="C17" s="84">
        <f>ROUND('[2]TICO 2'!Q26,0)</f>
        <v>160031435</v>
      </c>
      <c r="D17" s="222">
        <f>'10.2'!D18</f>
        <v>1.3073731976777445</v>
      </c>
      <c r="E17" s="31">
        <f t="shared" si="1"/>
        <v>209220809</v>
      </c>
      <c r="K17" s="2"/>
      <c r="L17" s="35"/>
    </row>
    <row r="18" spans="1:12" x14ac:dyDescent="0.2">
      <c r="A18" t="str">
        <f t="shared" si="0"/>
        <v>2013</v>
      </c>
      <c r="B18" s="25"/>
      <c r="C18" s="84">
        <f>ROUND('[2]TICO 2'!Q27,0)</f>
        <v>173209952</v>
      </c>
      <c r="D18" s="222">
        <f>'10.2'!D19</f>
        <v>1.2452851041347781</v>
      </c>
      <c r="E18" s="31">
        <f t="shared" si="1"/>
        <v>215695773</v>
      </c>
      <c r="K18" s="2"/>
      <c r="L18" s="35"/>
    </row>
    <row r="19" spans="1:12" x14ac:dyDescent="0.2">
      <c r="A19" t="str">
        <f t="shared" si="0"/>
        <v>2014</v>
      </c>
      <c r="B19" s="25"/>
      <c r="C19" s="84">
        <f>ROUND('[2]TICO 2'!Q28,0)</f>
        <v>187152484</v>
      </c>
      <c r="D19" s="222">
        <f>'10.2'!D20</f>
        <v>1.1862347753925764</v>
      </c>
      <c r="E19" s="31">
        <f t="shared" si="1"/>
        <v>222006785</v>
      </c>
      <c r="K19" s="2"/>
      <c r="L19" s="35"/>
    </row>
    <row r="20" spans="1:12" x14ac:dyDescent="0.2">
      <c r="A20" t="str">
        <f t="shared" si="0"/>
        <v>2015</v>
      </c>
      <c r="B20" s="25"/>
      <c r="C20" s="84">
        <f>ROUND('[2]TICO 2'!Q29,0)</f>
        <v>200595693</v>
      </c>
      <c r="D20" s="222">
        <f>'10.2'!D21</f>
        <v>1.1299661810216541</v>
      </c>
      <c r="E20" s="31">
        <f t="shared" si="1"/>
        <v>226666349</v>
      </c>
      <c r="K20" s="2"/>
      <c r="L20" s="35"/>
    </row>
    <row r="21" spans="1:12" x14ac:dyDescent="0.2">
      <c r="A21" t="str">
        <f t="shared" si="0"/>
        <v>2016</v>
      </c>
      <c r="B21" s="25"/>
      <c r="C21" s="84">
        <f>ROUND('[2]TICO 2'!Q30,0)</f>
        <v>200978477</v>
      </c>
      <c r="D21" s="222">
        <f>'10.2'!D22</f>
        <v>1.0765597532120244</v>
      </c>
      <c r="E21" s="31">
        <f t="shared" si="1"/>
        <v>216365340</v>
      </c>
      <c r="K21" s="2"/>
      <c r="L21" s="35" t="s">
        <v>219</v>
      </c>
    </row>
    <row r="22" spans="1:12" x14ac:dyDescent="0.2">
      <c r="A22" t="str">
        <f t="shared" si="0"/>
        <v>2017</v>
      </c>
      <c r="B22" s="25"/>
      <c r="C22" s="84">
        <f>ROUND('[2]TICO 2'!Q31,0)</f>
        <v>188554673</v>
      </c>
      <c r="D22" s="222">
        <f>'10.2'!D23</f>
        <v>1.0500000000000014</v>
      </c>
      <c r="E22" s="31">
        <f t="shared" si="1"/>
        <v>197982407</v>
      </c>
      <c r="K22" s="2"/>
      <c r="L22" s="52">
        <f>'10.1a'!$L$22</f>
        <v>43373</v>
      </c>
    </row>
    <row r="23" spans="1:12" x14ac:dyDescent="0.2">
      <c r="A23" t="str">
        <f>TEXT(YEAR($L$22),"#")</f>
        <v>2018</v>
      </c>
      <c r="B23" s="25"/>
      <c r="C23" s="84">
        <f>ROUND('[2]TICO 2'!Q32,0)</f>
        <v>166829909</v>
      </c>
      <c r="D23" s="222">
        <f>'10.2'!D24</f>
        <v>1.0255439472483592</v>
      </c>
      <c r="E23" s="31">
        <f>ROUND(C23*D23,0)</f>
        <v>171091403</v>
      </c>
      <c r="K23" s="2"/>
      <c r="L23" s="52"/>
    </row>
    <row r="24" spans="1:12" x14ac:dyDescent="0.2">
      <c r="A24" s="9"/>
      <c r="B24" s="26"/>
      <c r="C24" s="85"/>
      <c r="D24" s="37"/>
      <c r="E24" s="70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1666205549</v>
      </c>
      <c r="E26" s="19">
        <f>SUM(E14:E24)</f>
        <v>2012075750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18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A31" s="62"/>
      <c r="B31" s="22" t="str">
        <f>D12&amp;" Provided by TWIA"</f>
        <v>(3) Provided by TWIA</v>
      </c>
      <c r="K31" s="2"/>
    </row>
    <row r="32" spans="1:12" x14ac:dyDescent="0.2">
      <c r="B32" s="22" t="str">
        <f>E12&amp;" = "&amp;C12&amp;" * "&amp;D12</f>
        <v>(4) = (2) * (3)</v>
      </c>
      <c r="K32" s="2"/>
    </row>
    <row r="33" spans="2:11" x14ac:dyDescent="0.2"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5"/>
      <c r="K36" s="2"/>
    </row>
    <row r="37" spans="2:11" x14ac:dyDescent="0.2">
      <c r="B37" s="25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/>
  <dimension ref="A1:O67"/>
  <sheetViews>
    <sheetView zoomScaleNormal="100" workbookViewId="0">
      <selection activeCell="G40" sqref="G40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177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188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189</v>
      </c>
      <c r="B4" s="12"/>
      <c r="K4" s="2"/>
    </row>
    <row r="5" spans="1:12" x14ac:dyDescent="0.2">
      <c r="A5" t="s">
        <v>51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219"/>
      <c r="E7" s="6"/>
      <c r="K7" s="2"/>
    </row>
    <row r="8" spans="1:12" ht="12" thickTop="1" x14ac:dyDescent="0.2">
      <c r="D8" s="25"/>
      <c r="K8" s="2"/>
    </row>
    <row r="9" spans="1:12" x14ac:dyDescent="0.2">
      <c r="C9" s="22"/>
      <c r="D9" t="s">
        <v>38</v>
      </c>
      <c r="E9" t="s">
        <v>45</v>
      </c>
      <c r="K9" s="2"/>
      <c r="L9" s="27"/>
    </row>
    <row r="10" spans="1:12" x14ac:dyDescent="0.2">
      <c r="C10" t="s">
        <v>335</v>
      </c>
      <c r="D10" t="s">
        <v>337</v>
      </c>
      <c r="E10" t="s">
        <v>43</v>
      </c>
      <c r="K10" s="2"/>
    </row>
    <row r="11" spans="1:12" x14ac:dyDescent="0.2">
      <c r="A11" s="9" t="s">
        <v>55</v>
      </c>
      <c r="B11" s="9"/>
      <c r="C11" s="9" t="s">
        <v>45</v>
      </c>
      <c r="D11" s="26" t="s">
        <v>140</v>
      </c>
      <c r="E11" s="9" t="s">
        <v>140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84">
        <f>ROUND('[2]TICO 2'!R23,0)</f>
        <v>2218368</v>
      </c>
      <c r="D14" s="222">
        <f>'10.2'!D15</f>
        <v>1.4987056675771686</v>
      </c>
      <c r="E14" s="31">
        <f>ROUND(C14*D14,0)</f>
        <v>3324681</v>
      </c>
      <c r="K14" s="2"/>
      <c r="L14" s="35"/>
    </row>
    <row r="15" spans="1:12" x14ac:dyDescent="0.2">
      <c r="A15" t="str">
        <f t="shared" si="0"/>
        <v>2010</v>
      </c>
      <c r="B15" s="25"/>
      <c r="C15" s="84">
        <f>ROUND('[2]TICO 2'!R24,0)</f>
        <v>2562327</v>
      </c>
      <c r="D15" s="222">
        <f>'10.2'!D16</f>
        <v>1.4074808531397425</v>
      </c>
      <c r="E15" s="31">
        <f t="shared" ref="E15:E22" si="1">ROUND(C15*D15,0)</f>
        <v>3606426</v>
      </c>
      <c r="K15" s="2"/>
      <c r="L15" s="35"/>
    </row>
    <row r="16" spans="1:12" x14ac:dyDescent="0.2">
      <c r="A16" t="str">
        <f t="shared" si="0"/>
        <v>2011</v>
      </c>
      <c r="B16" s="25"/>
      <c r="C16" s="84">
        <f>ROUND('[2]TICO 2'!R25,0)</f>
        <v>2825372</v>
      </c>
      <c r="D16" s="222">
        <f>'10.2'!D17</f>
        <v>1.3727166755238378</v>
      </c>
      <c r="E16" s="31">
        <f t="shared" si="1"/>
        <v>3878435</v>
      </c>
      <c r="K16" s="2"/>
      <c r="L16" s="35"/>
    </row>
    <row r="17" spans="1:15" x14ac:dyDescent="0.2">
      <c r="A17" t="str">
        <f t="shared" si="0"/>
        <v>2012</v>
      </c>
      <c r="B17" s="25"/>
      <c r="C17" s="84">
        <f>ROUND('[2]TICO 2'!R26,0)</f>
        <v>3294072</v>
      </c>
      <c r="D17" s="222">
        <f>'10.2'!D18</f>
        <v>1.3073731976777445</v>
      </c>
      <c r="E17" s="31">
        <f t="shared" si="1"/>
        <v>4306581</v>
      </c>
      <c r="K17" s="2"/>
      <c r="L17" s="35"/>
    </row>
    <row r="18" spans="1:15" x14ac:dyDescent="0.2">
      <c r="A18" t="str">
        <f t="shared" si="0"/>
        <v>2013</v>
      </c>
      <c r="B18" s="25"/>
      <c r="C18" s="84">
        <f>ROUND('[2]TICO 2'!R27,0)</f>
        <v>3672814</v>
      </c>
      <c r="D18" s="222">
        <f>'10.2'!D19</f>
        <v>1.2452851041347781</v>
      </c>
      <c r="E18" s="31">
        <f t="shared" si="1"/>
        <v>4573701</v>
      </c>
      <c r="K18" s="2"/>
      <c r="L18" s="35"/>
    </row>
    <row r="19" spans="1:15" x14ac:dyDescent="0.2">
      <c r="A19" t="str">
        <f t="shared" si="0"/>
        <v>2014</v>
      </c>
      <c r="B19" s="25"/>
      <c r="C19" s="84">
        <f>ROUND('[2]TICO 2'!R28,0)</f>
        <v>3920276</v>
      </c>
      <c r="D19" s="222">
        <f>'10.2'!D20</f>
        <v>1.1862347753925764</v>
      </c>
      <c r="E19" s="31">
        <f t="shared" si="1"/>
        <v>4650368</v>
      </c>
      <c r="K19" s="2"/>
      <c r="L19" s="35"/>
    </row>
    <row r="20" spans="1:15" x14ac:dyDescent="0.2">
      <c r="A20" t="str">
        <f t="shared" si="0"/>
        <v>2015</v>
      </c>
      <c r="B20" s="25"/>
      <c r="C20" s="84">
        <f>ROUND('[2]TICO 2'!R29,0)</f>
        <v>4202726</v>
      </c>
      <c r="D20" s="222">
        <f>'10.2'!D21</f>
        <v>1.1299661810216541</v>
      </c>
      <c r="E20" s="31">
        <f t="shared" si="1"/>
        <v>4748938</v>
      </c>
      <c r="K20" s="2"/>
      <c r="L20" s="35"/>
    </row>
    <row r="21" spans="1:15" x14ac:dyDescent="0.2">
      <c r="A21" t="str">
        <f t="shared" si="0"/>
        <v>2016</v>
      </c>
      <c r="B21" s="25"/>
      <c r="C21" s="84">
        <f>ROUND('[2]TICO 2'!R30,0)</f>
        <v>4436708</v>
      </c>
      <c r="D21" s="222">
        <f>'10.2'!D22</f>
        <v>1.0765597532120244</v>
      </c>
      <c r="E21" s="31">
        <f t="shared" si="1"/>
        <v>4776381</v>
      </c>
      <c r="K21" s="2"/>
      <c r="L21" s="35" t="s">
        <v>219</v>
      </c>
    </row>
    <row r="22" spans="1:15" x14ac:dyDescent="0.2">
      <c r="A22" t="str">
        <f t="shared" si="0"/>
        <v>2017</v>
      </c>
      <c r="B22" s="25"/>
      <c r="C22" s="84">
        <f>ROUND('[2]TICO 2'!R31,0)</f>
        <v>4435808</v>
      </c>
      <c r="D22" s="222">
        <f>'10.2'!D23</f>
        <v>1.0500000000000014</v>
      </c>
      <c r="E22" s="31">
        <f t="shared" si="1"/>
        <v>4657598</v>
      </c>
      <c r="K22" s="2"/>
      <c r="L22" s="52">
        <f>'10.1a'!$L$22</f>
        <v>43373</v>
      </c>
    </row>
    <row r="23" spans="1:15" x14ac:dyDescent="0.2">
      <c r="A23" t="str">
        <f>TEXT(YEAR($L$22),"#")</f>
        <v>2018</v>
      </c>
      <c r="B23" s="25"/>
      <c r="C23" s="84">
        <f>ROUND('[2]TICO 2'!R32,0)</f>
        <v>4301050</v>
      </c>
      <c r="D23" s="222">
        <f>'10.2'!D24</f>
        <v>1.0255439472483592</v>
      </c>
      <c r="E23" s="31">
        <f>ROUND(C23*D23,0)</f>
        <v>4410916</v>
      </c>
      <c r="K23" s="2"/>
      <c r="L23" s="52"/>
      <c r="O23" s="19">
        <f>C23+'10.1c'!C23+'10.1b'!C23+'10.1a'!C23</f>
        <v>347747840</v>
      </c>
    </row>
    <row r="24" spans="1:15" x14ac:dyDescent="0.2">
      <c r="A24" s="9"/>
      <c r="B24" s="26"/>
      <c r="C24" s="85"/>
      <c r="D24" s="221"/>
      <c r="E24" s="70"/>
      <c r="K24" s="2"/>
    </row>
    <row r="25" spans="1:15" x14ac:dyDescent="0.2">
      <c r="C25" s="19"/>
      <c r="K25" s="2"/>
    </row>
    <row r="26" spans="1:15" x14ac:dyDescent="0.2">
      <c r="A26" t="s">
        <v>9</v>
      </c>
      <c r="C26" s="19">
        <f>SUM(C14:C24)</f>
        <v>35869521</v>
      </c>
      <c r="E26" s="19">
        <f>SUM(E14:E24)</f>
        <v>42934025</v>
      </c>
      <c r="K26" s="2"/>
    </row>
    <row r="27" spans="1:15" ht="12" thickBot="1" x14ac:dyDescent="0.25">
      <c r="A27" s="6"/>
      <c r="B27" s="6"/>
      <c r="C27" s="6"/>
      <c r="D27" s="219"/>
      <c r="E27" s="6"/>
      <c r="K27" s="2"/>
    </row>
    <row r="28" spans="1:15" ht="12" thickTop="1" x14ac:dyDescent="0.2">
      <c r="K28" s="2"/>
    </row>
    <row r="29" spans="1:15" x14ac:dyDescent="0.2">
      <c r="A29" t="s">
        <v>18</v>
      </c>
      <c r="K29" s="2"/>
    </row>
    <row r="30" spans="1:15" x14ac:dyDescent="0.2">
      <c r="B30" s="22" t="str">
        <f>C12&amp;" Provided by TWIA"</f>
        <v>(2) Provided by TWIA</v>
      </c>
      <c r="K30" s="2"/>
    </row>
    <row r="31" spans="1:15" x14ac:dyDescent="0.2">
      <c r="B31" s="22" t="str">
        <f>D12&amp;" Provided by TWIA"</f>
        <v>(3) Provided by TWIA</v>
      </c>
      <c r="K31" s="2"/>
    </row>
    <row r="32" spans="1:15" x14ac:dyDescent="0.2">
      <c r="B32" s="22" t="str">
        <f>E12&amp;" = "&amp;C12&amp;" * "&amp;D12</f>
        <v>(4) = (2) * (3)</v>
      </c>
      <c r="K32" s="2"/>
    </row>
    <row r="33" spans="1:11" x14ac:dyDescent="0.2">
      <c r="A33" s="62"/>
      <c r="B33" s="25"/>
      <c r="K33" s="2"/>
    </row>
    <row r="34" spans="1:11" x14ac:dyDescent="0.2">
      <c r="B34" s="25"/>
      <c r="K34" s="2"/>
    </row>
    <row r="35" spans="1:11" x14ac:dyDescent="0.2">
      <c r="B35" s="22"/>
      <c r="K35" s="2"/>
    </row>
    <row r="36" spans="1:11" x14ac:dyDescent="0.2">
      <c r="B36" s="22"/>
      <c r="K36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220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/>
  <dimension ref="A1:L69"/>
  <sheetViews>
    <sheetView zoomScaleNormal="100" workbookViewId="0">
      <selection activeCell="N36" sqref="N36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1" x14ac:dyDescent="0.2">
      <c r="A1" s="8" t="str">
        <f>'1'!$A$1</f>
        <v>Texas Windstorm Insurance Association</v>
      </c>
      <c r="B1" s="12"/>
      <c r="J1" s="7" t="s">
        <v>177</v>
      </c>
      <c r="K1" s="1"/>
    </row>
    <row r="2" spans="1:11" x14ac:dyDescent="0.2">
      <c r="A2" s="8" t="str">
        <f>'1'!$A$2</f>
        <v>Residential Property - Wind &amp; Hail</v>
      </c>
      <c r="B2" s="12"/>
      <c r="J2" s="7" t="s">
        <v>86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189</v>
      </c>
      <c r="B4" s="12"/>
      <c r="K4" s="2"/>
    </row>
    <row r="5" spans="1:11" x14ac:dyDescent="0.2">
      <c r="B5" s="12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219"/>
      <c r="E7" s="6"/>
      <c r="K7" s="2"/>
    </row>
    <row r="8" spans="1:11" ht="12" thickTop="1" x14ac:dyDescent="0.2">
      <c r="K8" s="2"/>
    </row>
    <row r="9" spans="1:11" x14ac:dyDescent="0.2">
      <c r="C9" s="22" t="s">
        <v>45</v>
      </c>
      <c r="D9" s="223" t="s">
        <v>38</v>
      </c>
      <c r="E9" t="s">
        <v>45</v>
      </c>
      <c r="K9" s="2"/>
    </row>
    <row r="10" spans="1:11" x14ac:dyDescent="0.2">
      <c r="C10" t="s">
        <v>347</v>
      </c>
      <c r="D10" s="223" t="s">
        <v>337</v>
      </c>
      <c r="E10" t="s">
        <v>43</v>
      </c>
      <c r="K10" s="2"/>
    </row>
    <row r="11" spans="1:11" x14ac:dyDescent="0.2">
      <c r="A11" s="9" t="s">
        <v>55</v>
      </c>
      <c r="B11" s="9"/>
      <c r="C11" s="9" t="s">
        <v>185</v>
      </c>
      <c r="D11" s="224" t="s">
        <v>140</v>
      </c>
      <c r="E11" s="9" t="s">
        <v>140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1" x14ac:dyDescent="0.2">
      <c r="K13" s="2"/>
    </row>
    <row r="14" spans="1:11" x14ac:dyDescent="0.2">
      <c r="A14" s="259">
        <v>2008</v>
      </c>
      <c r="B14" s="25"/>
      <c r="C14" s="106">
        <f>'[2]TWIA 5'!$G241</f>
        <v>219412771.41374999</v>
      </c>
      <c r="D14" s="301">
        <f t="shared" ref="D14:D24" si="0">E14/C14</f>
        <v>1.6495345789525933</v>
      </c>
      <c r="E14" s="106">
        <f>'[2]TWIA 5'!$O241</f>
        <v>361928953.51080167</v>
      </c>
      <c r="F14" s="324"/>
      <c r="K14" s="2"/>
    </row>
    <row r="15" spans="1:11" x14ac:dyDescent="0.2">
      <c r="A15" s="259">
        <v>2009</v>
      </c>
      <c r="B15" s="25"/>
      <c r="C15" s="106">
        <f>'[2]TWIA 5'!$G242</f>
        <v>250693787.58916676</v>
      </c>
      <c r="D15" s="301">
        <f t="shared" si="0"/>
        <v>1.4987056675771686</v>
      </c>
      <c r="E15" s="106">
        <f>'[2]TWIA 5'!$O242</f>
        <v>375716200.2862711</v>
      </c>
      <c r="F15" s="324"/>
      <c r="K15" s="2"/>
    </row>
    <row r="16" spans="1:11" x14ac:dyDescent="0.2">
      <c r="A16" s="259">
        <v>2010</v>
      </c>
      <c r="B16" s="25"/>
      <c r="C16" s="106">
        <f>'[2]TWIA 5'!$G243</f>
        <v>273154916.13250005</v>
      </c>
      <c r="D16" s="301">
        <f t="shared" si="0"/>
        <v>1.4074808531397425</v>
      </c>
      <c r="E16" s="106">
        <f>'[2]TWIA 5'!$O243</f>
        <v>384460314.39748597</v>
      </c>
      <c r="F16" s="324"/>
      <c r="K16" s="2"/>
    </row>
    <row r="17" spans="1:12" x14ac:dyDescent="0.2">
      <c r="A17" s="259">
        <v>2011</v>
      </c>
      <c r="B17" s="25"/>
      <c r="C17" s="106">
        <f>'[2]TWIA 5'!$G244</f>
        <v>292239326.51041698</v>
      </c>
      <c r="D17" s="301">
        <f t="shared" si="0"/>
        <v>1.3727166755238378</v>
      </c>
      <c r="E17" s="106">
        <f>'[2]TWIA 5'!$O244</f>
        <v>401161796.74470496</v>
      </c>
      <c r="F17" s="324"/>
      <c r="K17" s="2"/>
    </row>
    <row r="18" spans="1:12" x14ac:dyDescent="0.2">
      <c r="A18" s="259">
        <v>2012</v>
      </c>
      <c r="B18" s="25"/>
      <c r="C18" s="106">
        <f>'[2]TWIA 5'!$G245</f>
        <v>323323868.9816668</v>
      </c>
      <c r="D18" s="301">
        <f t="shared" si="0"/>
        <v>1.3073731976777445</v>
      </c>
      <c r="E18" s="106">
        <f>'[2]TWIA 5'!$O245</f>
        <v>422704960.47610188</v>
      </c>
      <c r="F18" s="324"/>
      <c r="K18" s="2"/>
    </row>
    <row r="19" spans="1:12" x14ac:dyDescent="0.2">
      <c r="A19" s="259">
        <v>2013</v>
      </c>
      <c r="B19" s="25"/>
      <c r="C19" s="106">
        <f>'[2]TWIA 5'!$G246</f>
        <v>346955938.10791636</v>
      </c>
      <c r="D19" s="301">
        <f t="shared" si="0"/>
        <v>1.2452851041347781</v>
      </c>
      <c r="E19" s="106">
        <f>'[2]TWIA 5'!$O246</f>
        <v>432059061.51689625</v>
      </c>
      <c r="F19" s="324"/>
      <c r="K19" s="2"/>
    </row>
    <row r="20" spans="1:12" x14ac:dyDescent="0.2">
      <c r="A20" s="259">
        <v>2014</v>
      </c>
      <c r="B20" s="25"/>
      <c r="C20" s="106">
        <f>'[2]TWIA 5'!$G247</f>
        <v>372022088.97291589</v>
      </c>
      <c r="D20" s="301">
        <f t="shared" si="0"/>
        <v>1.1862347753925764</v>
      </c>
      <c r="E20" s="106">
        <f>'[2]TWIA 5'!$O247</f>
        <v>441305539.15386391</v>
      </c>
      <c r="F20" s="324"/>
      <c r="K20" s="2"/>
    </row>
    <row r="21" spans="1:12" x14ac:dyDescent="0.2">
      <c r="A21" s="259">
        <v>2015</v>
      </c>
      <c r="B21" s="25"/>
      <c r="C21" s="106">
        <f>'[2]TWIA 5'!$G248</f>
        <v>403803905.31166744</v>
      </c>
      <c r="D21" s="301">
        <f t="shared" si="0"/>
        <v>1.1299661810216541</v>
      </c>
      <c r="E21" s="106">
        <f>'[2]TWIA 5'!$O248</f>
        <v>456284756.76665449</v>
      </c>
      <c r="F21" s="324"/>
      <c r="K21" s="2"/>
    </row>
    <row r="22" spans="1:12" x14ac:dyDescent="0.2">
      <c r="A22" s="259">
        <v>2016</v>
      </c>
      <c r="B22" s="25"/>
      <c r="C22" s="106">
        <f>'[2]TWIA 5'!$G249</f>
        <v>405934589.57833338</v>
      </c>
      <c r="D22" s="301">
        <f t="shared" si="0"/>
        <v>1.0765597532120244</v>
      </c>
      <c r="E22" s="106">
        <f>'[2]TWIA 5'!$O249</f>
        <v>437012841.57667494</v>
      </c>
      <c r="F22" s="324"/>
      <c r="K22" s="2"/>
    </row>
    <row r="23" spans="1:12" x14ac:dyDescent="0.2">
      <c r="A23" s="25">
        <v>2017</v>
      </c>
      <c r="B23" s="25"/>
      <c r="C23" s="106">
        <f>'[2]TWIA 5'!$G250</f>
        <v>376421384.29166651</v>
      </c>
      <c r="D23" s="301">
        <f t="shared" si="0"/>
        <v>1.0500000000000014</v>
      </c>
      <c r="E23" s="106">
        <f>'[2]TWIA 5'!$O250</f>
        <v>395242453.50625038</v>
      </c>
      <c r="F23" s="324"/>
      <c r="K23" s="2"/>
    </row>
    <row r="24" spans="1:12" x14ac:dyDescent="0.2">
      <c r="A24" s="26">
        <v>2018</v>
      </c>
      <c r="B24" s="26"/>
      <c r="C24" s="85">
        <f>'[2]TWIA 5'!$G251</f>
        <v>341468875.45833349</v>
      </c>
      <c r="D24" s="306">
        <f t="shared" si="0"/>
        <v>1.0255439472483592</v>
      </c>
      <c r="E24" s="85">
        <f>'[2]TWIA 5'!$O251</f>
        <v>350191338.39999771</v>
      </c>
      <c r="F24" s="324"/>
      <c r="K24" s="2"/>
    </row>
    <row r="25" spans="1:12" x14ac:dyDescent="0.2">
      <c r="C25" s="19"/>
      <c r="K25" s="2"/>
      <c r="L25" s="323">
        <v>43465</v>
      </c>
    </row>
    <row r="26" spans="1:12" x14ac:dyDescent="0.2">
      <c r="A26" t="s">
        <v>9</v>
      </c>
      <c r="C26" s="19">
        <f>SUM(C14:C24)</f>
        <v>3605431452.3483338</v>
      </c>
      <c r="E26" s="19">
        <f>SUM(E14:E24)</f>
        <v>4458068216.3357029</v>
      </c>
      <c r="K26" s="2"/>
    </row>
    <row r="27" spans="1:12" ht="12" thickBot="1" x14ac:dyDescent="0.25">
      <c r="A27" s="6"/>
      <c r="B27" s="6"/>
      <c r="C27" s="6"/>
      <c r="D27" s="219"/>
      <c r="E27" s="6"/>
      <c r="K27" s="2"/>
    </row>
    <row r="28" spans="1:12" ht="12" thickTop="1" x14ac:dyDescent="0.2">
      <c r="K28" s="2"/>
    </row>
    <row r="29" spans="1:12" x14ac:dyDescent="0.2">
      <c r="A29" t="s">
        <v>18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B31" s="22" t="str">
        <f>D12&amp;" Based on historical rate changes"</f>
        <v>(3) Based on historical rate changes</v>
      </c>
      <c r="K31" s="2"/>
    </row>
    <row r="32" spans="1:12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K37" s="2"/>
    </row>
    <row r="38" spans="2:11" x14ac:dyDescent="0.2">
      <c r="B38" s="25"/>
      <c r="K38" s="2"/>
    </row>
    <row r="39" spans="2:11" x14ac:dyDescent="0.2">
      <c r="B39" s="25"/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220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/>
  <dimension ref="A1:L68"/>
  <sheetViews>
    <sheetView topLeftCell="D25" zoomScaleNormal="100" workbookViewId="0">
      <selection activeCell="T69" sqref="T69"/>
    </sheetView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7.1640625" customWidth="1"/>
  </cols>
  <sheetData>
    <row r="1" spans="1:12" x14ac:dyDescent="0.2">
      <c r="A1" s="8" t="str">
        <f>'1'!$A$1</f>
        <v>Texas Windstorm Insurance Association</v>
      </c>
      <c r="B1" s="101"/>
      <c r="J1" s="7" t="s">
        <v>183</v>
      </c>
      <c r="K1" s="1"/>
    </row>
    <row r="2" spans="1:12" x14ac:dyDescent="0.2">
      <c r="A2" s="8" t="str">
        <f>'1'!$A$2</f>
        <v>Residential Property - Wind &amp; Hail</v>
      </c>
      <c r="B2" s="101"/>
      <c r="J2" s="7" t="s">
        <v>22</v>
      </c>
      <c r="K2" s="2"/>
    </row>
    <row r="3" spans="1:12" x14ac:dyDescent="0.2">
      <c r="A3" s="8" t="str">
        <f>'1'!$A$3</f>
        <v>Rate Level Review</v>
      </c>
      <c r="B3" s="101"/>
      <c r="J3" s="7"/>
      <c r="K3" s="2"/>
    </row>
    <row r="4" spans="1:12" x14ac:dyDescent="0.2">
      <c r="A4" t="s">
        <v>227</v>
      </c>
      <c r="B4" s="101"/>
      <c r="K4" s="2"/>
    </row>
    <row r="5" spans="1:12" x14ac:dyDescent="0.2">
      <c r="B5" s="101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D9" s="102"/>
      <c r="K9" s="2"/>
      <c r="L9" s="27"/>
    </row>
    <row r="10" spans="1:12" x14ac:dyDescent="0.2">
      <c r="K10" s="2"/>
      <c r="L10" t="s">
        <v>222</v>
      </c>
    </row>
    <row r="11" spans="1:12" x14ac:dyDescent="0.2">
      <c r="A11" s="9" t="s">
        <v>191</v>
      </c>
      <c r="B11" s="9"/>
      <c r="C11" s="9"/>
      <c r="D11" s="188">
        <v>2016</v>
      </c>
      <c r="E11" s="188">
        <v>2017</v>
      </c>
      <c r="F11" s="188">
        <v>2018</v>
      </c>
      <c r="G11" s="9" t="s">
        <v>74</v>
      </c>
      <c r="K11" s="2"/>
      <c r="L11" s="93">
        <v>43465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58" t="s">
        <v>192</v>
      </c>
      <c r="B14" t="s">
        <v>196</v>
      </c>
      <c r="D14" s="97">
        <f>'[3]11.1'!D14</f>
        <v>487353537</v>
      </c>
      <c r="E14" s="97">
        <f>'[3]11.1'!E14</f>
        <v>423074138</v>
      </c>
      <c r="F14" s="97">
        <f>'[3]11.1'!F14</f>
        <v>395551679</v>
      </c>
      <c r="K14" s="2"/>
      <c r="L14" s="103"/>
    </row>
    <row r="15" spans="1:12" x14ac:dyDescent="0.2">
      <c r="A15" s="58" t="s">
        <v>193</v>
      </c>
      <c r="B15" t="s">
        <v>195</v>
      </c>
      <c r="D15" s="84">
        <f>'[3]11.1'!D15</f>
        <v>496456941</v>
      </c>
      <c r="E15" s="84">
        <f>'[3]11.1'!E15</f>
        <v>451347130</v>
      </c>
      <c r="F15" s="84">
        <f>'[3]11.1'!F15</f>
        <v>409954258</v>
      </c>
      <c r="K15" s="2"/>
      <c r="L15" s="103"/>
    </row>
    <row r="16" spans="1:12" x14ac:dyDescent="0.2">
      <c r="K16" s="2"/>
      <c r="L16" s="103"/>
    </row>
    <row r="17" spans="1:12" x14ac:dyDescent="0.2">
      <c r="A17" s="58" t="s">
        <v>194</v>
      </c>
      <c r="B17" t="s">
        <v>197</v>
      </c>
      <c r="K17" s="2"/>
      <c r="L17" s="103"/>
    </row>
    <row r="18" spans="1:12" x14ac:dyDescent="0.2">
      <c r="C18" t="s">
        <v>198</v>
      </c>
      <c r="D18" s="84">
        <f>'[3]11.1'!D18</f>
        <v>77986786</v>
      </c>
      <c r="E18" s="84">
        <f>'[3]11.1'!E18</f>
        <v>67661211</v>
      </c>
      <c r="F18" s="84">
        <f>'[3]11.1'!F18</f>
        <v>63280811</v>
      </c>
      <c r="K18" s="2"/>
      <c r="L18" s="103"/>
    </row>
    <row r="19" spans="1:12" x14ac:dyDescent="0.2">
      <c r="C19" t="s">
        <v>199</v>
      </c>
      <c r="D19" s="29">
        <f>D18/D$14</f>
        <v>0.16002097056699929</v>
      </c>
      <c r="E19" s="29">
        <f>E18/E$14</f>
        <v>0.15992755151580548</v>
      </c>
      <c r="F19" s="20">
        <f>F18/F$14</f>
        <v>0.1599811462309581</v>
      </c>
      <c r="G19" s="96">
        <f>'[3]11.1'!G19</f>
        <v>0.16</v>
      </c>
      <c r="K19" s="2"/>
      <c r="L19" s="103"/>
    </row>
    <row r="20" spans="1:12" x14ac:dyDescent="0.2">
      <c r="D20" s="62"/>
      <c r="E20" s="62"/>
      <c r="K20" s="2"/>
      <c r="L20" s="103"/>
    </row>
    <row r="21" spans="1:12" x14ac:dyDescent="0.2">
      <c r="A21" s="58" t="s">
        <v>144</v>
      </c>
      <c r="B21" t="s">
        <v>200</v>
      </c>
      <c r="D21" s="62"/>
      <c r="E21" s="62"/>
      <c r="K21" s="2"/>
      <c r="L21" s="103"/>
    </row>
    <row r="22" spans="1:12" x14ac:dyDescent="0.2">
      <c r="C22" t="s">
        <v>198</v>
      </c>
      <c r="D22" s="97">
        <f>'[3]11.1'!D22</f>
        <v>0</v>
      </c>
      <c r="E22" s="97">
        <f>'[3]11.1'!E22</f>
        <v>0</v>
      </c>
      <c r="F22" s="97">
        <f>'[3]11.1'!F22</f>
        <v>0</v>
      </c>
      <c r="K22" s="2"/>
      <c r="L22" s="103"/>
    </row>
    <row r="23" spans="1:12" x14ac:dyDescent="0.2">
      <c r="C23" t="s">
        <v>199</v>
      </c>
      <c r="D23" s="29">
        <f>D22/D$14</f>
        <v>0</v>
      </c>
      <c r="E23" s="29">
        <f>E22/E$14</f>
        <v>0</v>
      </c>
      <c r="F23" s="20">
        <f>F22/F$14</f>
        <v>0</v>
      </c>
      <c r="G23" s="96">
        <f>'[3]11.1'!G23</f>
        <v>0</v>
      </c>
      <c r="K23" s="2"/>
      <c r="L23" s="103"/>
    </row>
    <row r="24" spans="1:12" x14ac:dyDescent="0.2">
      <c r="D24" s="62"/>
      <c r="E24" s="62"/>
      <c r="K24" s="2"/>
    </row>
    <row r="25" spans="1:12" x14ac:dyDescent="0.2">
      <c r="A25" s="58" t="s">
        <v>123</v>
      </c>
      <c r="B25" t="s">
        <v>201</v>
      </c>
      <c r="D25" s="62"/>
      <c r="E25" s="62"/>
      <c r="K25" s="2"/>
    </row>
    <row r="26" spans="1:12" x14ac:dyDescent="0.2">
      <c r="C26" t="s">
        <v>202</v>
      </c>
      <c r="D26" s="97">
        <f>'[3]11.1'!D26</f>
        <v>26421698</v>
      </c>
      <c r="E26" s="97">
        <f>'[3]11.1'!E26</f>
        <v>26359831</v>
      </c>
      <c r="F26" s="97">
        <f>'[3]11.1'!F26</f>
        <v>30687177</v>
      </c>
      <c r="K26" s="2"/>
    </row>
    <row r="27" spans="1:12" x14ac:dyDescent="0.2">
      <c r="D27" s="62"/>
      <c r="E27" s="62"/>
      <c r="K27" s="2"/>
    </row>
    <row r="28" spans="1:12" x14ac:dyDescent="0.2">
      <c r="B28" t="s">
        <v>203</v>
      </c>
      <c r="D28" s="62"/>
      <c r="E28" s="62"/>
      <c r="K28" s="2"/>
    </row>
    <row r="29" spans="1:12" x14ac:dyDescent="0.2">
      <c r="C29" t="s">
        <v>204</v>
      </c>
      <c r="D29" s="84">
        <f>'[3]11.1'!D29</f>
        <v>0</v>
      </c>
      <c r="E29" s="84">
        <f>'[3]11.1'!E29</f>
        <v>0</v>
      </c>
      <c r="F29" s="84">
        <f>'[3]11.1'!F29</f>
        <v>0</v>
      </c>
      <c r="K29" s="2"/>
    </row>
    <row r="30" spans="1:12" x14ac:dyDescent="0.2">
      <c r="D30" s="62"/>
      <c r="E30" s="62"/>
      <c r="K30" s="2"/>
    </row>
    <row r="31" spans="1:12" x14ac:dyDescent="0.2">
      <c r="C31" t="s">
        <v>205</v>
      </c>
      <c r="D31" s="31">
        <f>D26-SUM(D29)</f>
        <v>26421698</v>
      </c>
      <c r="E31" s="31">
        <f>E26-SUM(E29)</f>
        <v>26359831</v>
      </c>
      <c r="F31" s="31">
        <f>F26-SUM(F29)</f>
        <v>30687177</v>
      </c>
      <c r="K31" s="2"/>
    </row>
    <row r="32" spans="1:12" x14ac:dyDescent="0.2">
      <c r="B32" s="102"/>
      <c r="C32" s="22" t="s">
        <v>199</v>
      </c>
      <c r="D32" s="29">
        <f>D31/D$14</f>
        <v>5.4214642952309176E-2</v>
      </c>
      <c r="E32" s="29">
        <f>E31/E$14</f>
        <v>6.2305465242122646E-2</v>
      </c>
      <c r="F32" s="29">
        <f>F31/F$14</f>
        <v>7.7580702166606147E-2</v>
      </c>
      <c r="G32" s="96">
        <f>'[3]11.1'!G32</f>
        <v>6.2E-2</v>
      </c>
      <c r="K32" s="2"/>
    </row>
    <row r="33" spans="1:11" x14ac:dyDescent="0.2">
      <c r="B33" s="102"/>
      <c r="C33" s="102"/>
      <c r="D33" s="62"/>
      <c r="E33" s="62"/>
      <c r="K33" s="2"/>
    </row>
    <row r="34" spans="1:11" x14ac:dyDescent="0.2">
      <c r="A34" s="58" t="s">
        <v>127</v>
      </c>
      <c r="B34" t="s">
        <v>206</v>
      </c>
      <c r="D34" s="62"/>
      <c r="E34" s="62"/>
      <c r="K34" s="2"/>
    </row>
    <row r="35" spans="1:11" x14ac:dyDescent="0.2">
      <c r="B35" s="25"/>
      <c r="C35" t="s">
        <v>198</v>
      </c>
      <c r="D35" s="97">
        <f>'[3]11.1'!D35</f>
        <v>9626596</v>
      </c>
      <c r="E35" s="97">
        <f>'[3]11.1'!E35</f>
        <v>8281293</v>
      </c>
      <c r="F35" s="97">
        <f>'[3]11.1'!F35</f>
        <v>7590295</v>
      </c>
      <c r="K35" s="2"/>
    </row>
    <row r="36" spans="1:11" x14ac:dyDescent="0.2">
      <c r="B36" s="25"/>
      <c r="C36" t="s">
        <v>199</v>
      </c>
      <c r="D36" s="20">
        <f>D35/D$14</f>
        <v>1.975279805961478E-2</v>
      </c>
      <c r="E36" s="20">
        <f>E35/E$14</f>
        <v>1.9574094127209448E-2</v>
      </c>
      <c r="F36" s="20">
        <f>F35/F$14</f>
        <v>1.918913609263178E-2</v>
      </c>
      <c r="G36" s="96">
        <f>'[3]11.1'!G36</f>
        <v>0.02</v>
      </c>
      <c r="K36" s="2"/>
    </row>
    <row r="37" spans="1:11" x14ac:dyDescent="0.2">
      <c r="K37" s="2"/>
    </row>
    <row r="38" spans="1:11" x14ac:dyDescent="0.2">
      <c r="A38" s="58" t="s">
        <v>126</v>
      </c>
      <c r="B38" t="s">
        <v>207</v>
      </c>
      <c r="G38" s="96">
        <f>'[3]11.1'!G38</f>
        <v>0.16593085671284399</v>
      </c>
      <c r="K38" s="2"/>
    </row>
    <row r="39" spans="1:11" x14ac:dyDescent="0.2">
      <c r="K39" s="2"/>
    </row>
    <row r="40" spans="1:11" x14ac:dyDescent="0.2">
      <c r="A40" s="288" t="str">
        <f>'[3]11.1'!A40</f>
        <v>(8)</v>
      </c>
      <c r="B40" s="288" t="str">
        <f>'[3]11.1'!B40</f>
        <v>Outstanding Class 1 Public Security Repayment</v>
      </c>
      <c r="C40" s="288"/>
      <c r="D40" s="288"/>
      <c r="E40" s="288"/>
      <c r="F40" s="288"/>
      <c r="G40" s="289">
        <f>'[3]11.1'!G40</f>
        <v>0.251</v>
      </c>
      <c r="K40" s="2"/>
    </row>
    <row r="41" spans="1:11" x14ac:dyDescent="0.2">
      <c r="B41" s="102"/>
      <c r="C41" s="102"/>
      <c r="K41" s="2"/>
    </row>
    <row r="42" spans="1:11" x14ac:dyDescent="0.2">
      <c r="A42" s="288" t="str">
        <f>'[3]11.1'!A42</f>
        <v>(9)</v>
      </c>
      <c r="B42" s="288" t="str">
        <f>'[3]11.1'!B42</f>
        <v>Total Fixed Expenses</v>
      </c>
      <c r="C42" s="288"/>
      <c r="D42" s="288"/>
      <c r="E42" s="288"/>
      <c r="F42" s="288"/>
      <c r="G42" s="289">
        <f>'[3]11.1'!G42</f>
        <v>0.47893085671284397</v>
      </c>
      <c r="H42" s="288"/>
      <c r="K42" s="2"/>
    </row>
    <row r="43" spans="1:11" x14ac:dyDescent="0.2">
      <c r="K43" s="2"/>
    </row>
    <row r="44" spans="1:11" x14ac:dyDescent="0.2">
      <c r="A44" s="288" t="str">
        <f>'[3]11.1'!A$44</f>
        <v>(10)</v>
      </c>
      <c r="B44" s="288" t="str">
        <f>'[3]11.1'!B$44</f>
        <v>Total Variable Expenses</v>
      </c>
      <c r="C44" s="288"/>
      <c r="D44" s="288"/>
      <c r="E44" s="288"/>
      <c r="F44" s="288"/>
      <c r="G44" s="289">
        <f>'[3]11.1'!G$44</f>
        <v>0.18</v>
      </c>
      <c r="H44" s="288"/>
      <c r="K44" s="2"/>
    </row>
    <row r="45" spans="1:11" x14ac:dyDescent="0.2">
      <c r="G45" s="96"/>
      <c r="K45" s="2"/>
    </row>
    <row r="46" spans="1:11" x14ac:dyDescent="0.2">
      <c r="A46" s="290" t="str">
        <f>'[3]11.1'!A$46</f>
        <v>(11)</v>
      </c>
      <c r="B46" s="290" t="str">
        <f>'[3]11.1'!B$46</f>
        <v>CRTF Contribution &amp; UW Contingency &amp; Uncertainty</v>
      </c>
      <c r="C46" s="290"/>
      <c r="D46" s="290"/>
      <c r="E46" s="290"/>
      <c r="F46" s="290"/>
      <c r="G46" s="291">
        <f>'[3]11.1'!G$46</f>
        <v>0.05</v>
      </c>
      <c r="K46" s="2"/>
    </row>
    <row r="47" spans="1:11" x14ac:dyDescent="0.2">
      <c r="B47" s="102"/>
      <c r="C47" s="102"/>
      <c r="K47" s="2"/>
    </row>
    <row r="48" spans="1:11" x14ac:dyDescent="0.2">
      <c r="A48" s="58" t="s">
        <v>278</v>
      </c>
      <c r="B48" t="s">
        <v>345</v>
      </c>
      <c r="G48" s="20">
        <f>1-G44-G46</f>
        <v>0.77</v>
      </c>
      <c r="K48" s="2"/>
    </row>
    <row r="49" spans="1:11" ht="12" thickBot="1" x14ac:dyDescent="0.25">
      <c r="A49" s="6"/>
      <c r="B49" s="6"/>
      <c r="C49" s="6"/>
      <c r="D49" s="6"/>
      <c r="E49" s="6"/>
      <c r="F49" s="6"/>
      <c r="G49" s="6"/>
      <c r="K49" s="2"/>
    </row>
    <row r="50" spans="1:11" ht="12" thickTop="1" x14ac:dyDescent="0.2">
      <c r="K50" s="2"/>
    </row>
    <row r="51" spans="1:11" x14ac:dyDescent="0.2">
      <c r="A51" t="s">
        <v>18</v>
      </c>
      <c r="K51" s="2"/>
    </row>
    <row r="52" spans="1:11" x14ac:dyDescent="0.2">
      <c r="B52" s="290" t="str">
        <f>'[3]11.1'!$B54</f>
        <v>(1) - (6) From TWIA's Statutory Annual Statements and Insurance Expense Exhibits</v>
      </c>
      <c r="K52" s="2"/>
    </row>
    <row r="53" spans="1:11" x14ac:dyDescent="0.2">
      <c r="B53" s="290" t="str">
        <f>'[3]11.1'!$B55</f>
        <v>(7) Exhibit 11, Sheet 2</v>
      </c>
      <c r="K53" s="2"/>
    </row>
    <row r="54" spans="1:11" x14ac:dyDescent="0.2">
      <c r="B54" s="290" t="str">
        <f>'[3]11.1'!$B56</f>
        <v xml:space="preserve">(8) Outstanding Class 1 Public Security issued in 2014, Security depleted due to Hurricane Harvey; </v>
      </c>
      <c r="K54" s="2"/>
    </row>
    <row r="55" spans="1:11" x14ac:dyDescent="0.2">
      <c r="B55" s="290" t="str">
        <f>'[3]11.1'!$B57</f>
        <v>0.251= Annual principal and interest payment $80.3M/Prospective written premium at present rate$320.396M</v>
      </c>
      <c r="K55" s="2"/>
    </row>
    <row r="56" spans="1:11" x14ac:dyDescent="0.2">
      <c r="B56" s="290" t="str">
        <f>'[3]11.1'!$B58</f>
        <v>$320.396M = TWIA 2018 written premium $395,551,679*(1-10%)^2; 10% from Exhibit 11, sheet 2, (3)</v>
      </c>
      <c r="K56" s="2"/>
    </row>
    <row r="57" spans="1:11" x14ac:dyDescent="0.2">
      <c r="B57" s="290" t="str">
        <f>'[3]11.1'!$B59</f>
        <v>(9) = (5) + (7) + (8)</v>
      </c>
      <c r="K57" s="2"/>
    </row>
    <row r="58" spans="1:11" x14ac:dyDescent="0.2">
      <c r="B58" s="290" t="str">
        <f>'[3]11.1'!$B60</f>
        <v>(10) = (3) + (4) + (6)</v>
      </c>
      <c r="K58" s="2"/>
    </row>
    <row r="59" spans="1:11" x14ac:dyDescent="0.2">
      <c r="B59" s="290" t="str">
        <f>'[3]11.1'!$B61</f>
        <v>(11) CRTF contribution selected judgmentally; Class 1 repayment based on projected $80 million in debt service</v>
      </c>
      <c r="K59" s="2"/>
    </row>
    <row r="60" spans="1:11" x14ac:dyDescent="0.2">
      <c r="B60" s="290" t="str">
        <f>'[3]11.1'!$B62</f>
        <v>(12) = 100% - (10) - (11)</v>
      </c>
      <c r="K60" s="2"/>
    </row>
    <row r="61" spans="1:11" x14ac:dyDescent="0.2">
      <c r="K61" s="2"/>
    </row>
    <row r="62" spans="1:11" x14ac:dyDescent="0.2">
      <c r="K62" s="2"/>
    </row>
    <row r="63" spans="1:11" x14ac:dyDescent="0.2">
      <c r="D63" s="38"/>
      <c r="E63" s="38"/>
      <c r="F63" s="38"/>
      <c r="K63" s="2"/>
    </row>
    <row r="64" spans="1:11" x14ac:dyDescent="0.2">
      <c r="G64" s="20"/>
      <c r="K64" s="2"/>
    </row>
    <row r="65" spans="1:11" x14ac:dyDescent="0.2">
      <c r="A65" s="50"/>
      <c r="B65" s="50"/>
      <c r="C65" s="50"/>
      <c r="D65" s="50"/>
      <c r="E65" s="50"/>
      <c r="F65" s="50"/>
      <c r="G65" s="50"/>
      <c r="K65" s="2"/>
    </row>
    <row r="66" spans="1:11" x14ac:dyDescent="0.2">
      <c r="B66" s="102"/>
      <c r="C66" s="102"/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69"/>
  <sheetViews>
    <sheetView showGridLines="0" zoomScaleNormal="100" zoomScaleSheetLayoutView="100" workbookViewId="0">
      <selection activeCell="M42" sqref="M42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7" width="11.33203125" style="50" customWidth="1"/>
    <col min="8" max="8" width="10.5" customWidth="1"/>
  </cols>
  <sheetData>
    <row r="1" spans="1:15" x14ac:dyDescent="0.2">
      <c r="A1" s="8" t="str">
        <f>'1'!$A$1</f>
        <v>Texas Windstorm Insurance Association</v>
      </c>
      <c r="C1" s="12"/>
      <c r="H1" s="200" t="s">
        <v>183</v>
      </c>
      <c r="I1" s="1"/>
    </row>
    <row r="2" spans="1:15" x14ac:dyDescent="0.2">
      <c r="A2" s="8" t="str">
        <f>'1'!$A$2</f>
        <v>Residential Property - Wind &amp; Hail</v>
      </c>
      <c r="C2" s="12"/>
      <c r="H2" s="200" t="s">
        <v>86</v>
      </c>
      <c r="I2" s="2"/>
    </row>
    <row r="3" spans="1:15" x14ac:dyDescent="0.2">
      <c r="A3" s="8" t="str">
        <f>'1'!$A$3</f>
        <v>Rate Level Review</v>
      </c>
      <c r="C3" s="12"/>
      <c r="H3" s="7"/>
      <c r="I3" s="2"/>
    </row>
    <row r="4" spans="1:15" x14ac:dyDescent="0.2">
      <c r="A4" t="s">
        <v>308</v>
      </c>
      <c r="C4" s="12"/>
      <c r="I4" s="2"/>
    </row>
    <row r="5" spans="1:15" x14ac:dyDescent="0.2">
      <c r="A5" s="62" t="s">
        <v>309</v>
      </c>
      <c r="C5" s="12"/>
      <c r="I5" s="2"/>
    </row>
    <row r="6" spans="1:15" x14ac:dyDescent="0.2">
      <c r="I6" s="2"/>
    </row>
    <row r="7" spans="1:15" ht="12" thickBot="1" x14ac:dyDescent="0.25">
      <c r="A7" s="6"/>
      <c r="B7" s="6"/>
      <c r="C7" s="6"/>
      <c r="D7" s="6"/>
      <c r="I7" s="2"/>
    </row>
    <row r="8" spans="1:15" ht="12" thickTop="1" x14ac:dyDescent="0.2">
      <c r="I8" s="2"/>
      <c r="J8" t="s">
        <v>310</v>
      </c>
    </row>
    <row r="9" spans="1:15" x14ac:dyDescent="0.2">
      <c r="I9" s="2"/>
      <c r="J9" t="s">
        <v>311</v>
      </c>
      <c r="K9" t="s">
        <v>312</v>
      </c>
      <c r="L9" t="s">
        <v>313</v>
      </c>
    </row>
    <row r="10" spans="1:15" x14ac:dyDescent="0.2">
      <c r="A10" s="58" t="s">
        <v>192</v>
      </c>
      <c r="B10" t="str">
        <f>YEAR($J$10)&amp;" - "&amp;YEAR($K$10)&amp;" Reinsurance Premium"</f>
        <v>2019 - 2020 Reinsurance Premium</v>
      </c>
      <c r="D10" s="94">
        <f>'[3]11.2'!D10</f>
        <v>87905608.276666671</v>
      </c>
      <c r="I10" s="2"/>
      <c r="J10" s="86">
        <f>'[3]11.2'!J10</f>
        <v>43617</v>
      </c>
      <c r="K10" s="86">
        <f>'[3]11.2'!K10</f>
        <v>43982</v>
      </c>
      <c r="L10" s="193">
        <f>DATE(YEAR(K10+1),MONTH(K10+1)-6,1)</f>
        <v>43800</v>
      </c>
    </row>
    <row r="11" spans="1:15" x14ac:dyDescent="0.2">
      <c r="I11" s="2"/>
    </row>
    <row r="12" spans="1:15" x14ac:dyDescent="0.2">
      <c r="A12" s="58" t="s">
        <v>314</v>
      </c>
      <c r="B12" t="s">
        <v>315</v>
      </c>
      <c r="I12" s="2"/>
      <c r="J12" t="s">
        <v>316</v>
      </c>
    </row>
    <row r="13" spans="1:15" x14ac:dyDescent="0.2">
      <c r="C13" s="94" t="str">
        <f>'[3]11.2'!C13</f>
        <v>100% of $2100M XS $2100M</v>
      </c>
      <c r="D13" s="94">
        <f>'[3]11.2'!D13</f>
        <v>34645345</v>
      </c>
      <c r="I13" s="2"/>
      <c r="J13" t="s">
        <v>224</v>
      </c>
      <c r="L13" t="s">
        <v>313</v>
      </c>
    </row>
    <row r="14" spans="1:15" x14ac:dyDescent="0.2">
      <c r="B14" s="22"/>
      <c r="C14" s="22"/>
      <c r="D14" s="62"/>
      <c r="E14" s="45"/>
      <c r="F14" s="45"/>
      <c r="I14" s="2"/>
      <c r="J14" s="88">
        <f>'8.2'!M11</f>
        <v>43434</v>
      </c>
      <c r="L14" s="193">
        <f>J14+1</f>
        <v>43435</v>
      </c>
      <c r="O14" s="227"/>
    </row>
    <row r="15" spans="1:15" x14ac:dyDescent="0.2">
      <c r="B15" s="62"/>
      <c r="C15" s="22" t="s">
        <v>9</v>
      </c>
      <c r="D15" s="33">
        <f>SUM(D13:D13)</f>
        <v>34645345</v>
      </c>
      <c r="E15" s="45"/>
      <c r="F15" s="45"/>
      <c r="I15" s="2"/>
      <c r="J15" s="99"/>
      <c r="O15" s="227"/>
    </row>
    <row r="16" spans="1:15" x14ac:dyDescent="0.2">
      <c r="B16" s="62"/>
      <c r="C16" s="62"/>
      <c r="D16" s="62"/>
      <c r="E16" s="45"/>
      <c r="F16" s="45"/>
      <c r="I16" s="2"/>
      <c r="O16" s="227"/>
    </row>
    <row r="17" spans="1:15" x14ac:dyDescent="0.2">
      <c r="A17" s="58" t="s">
        <v>318</v>
      </c>
      <c r="B17" t="s">
        <v>319</v>
      </c>
      <c r="I17" s="2"/>
      <c r="J17" t="s">
        <v>317</v>
      </c>
      <c r="O17" s="227"/>
    </row>
    <row r="18" spans="1:15" x14ac:dyDescent="0.2">
      <c r="C18" s="22" t="str">
        <f>C13</f>
        <v>100% of $2100M XS $2100M</v>
      </c>
      <c r="D18" s="94">
        <f>'[3]11.2'!D20</f>
        <v>19178101</v>
      </c>
      <c r="I18" s="2"/>
      <c r="J18" s="201">
        <f>'[3]11.2'!J18</f>
        <v>0.9</v>
      </c>
      <c r="O18" s="227"/>
    </row>
    <row r="19" spans="1:15" x14ac:dyDescent="0.2">
      <c r="A19" s="58"/>
      <c r="D19" s="31"/>
      <c r="I19" s="2"/>
      <c r="J19" t="s">
        <v>225</v>
      </c>
      <c r="O19" s="227"/>
    </row>
    <row r="20" spans="1:15" x14ac:dyDescent="0.2">
      <c r="B20" s="62"/>
      <c r="C20" s="22" t="s">
        <v>9</v>
      </c>
      <c r="D20" s="33">
        <f>SUM(D18:D18)</f>
        <v>19178101</v>
      </c>
      <c r="E20" s="45"/>
      <c r="F20" s="45"/>
      <c r="G20" s="45"/>
      <c r="H20" s="62"/>
      <c r="I20" s="2"/>
      <c r="J20" s="100">
        <f>ROUND(YEAR(L10)-YEAR(L14)+(MONTH(L10)-MONTH(L14))/12,3)</f>
        <v>1</v>
      </c>
      <c r="O20" s="227"/>
    </row>
    <row r="21" spans="1:15" x14ac:dyDescent="0.2">
      <c r="B21" s="62"/>
      <c r="C21" s="62"/>
      <c r="D21" s="202"/>
      <c r="E21" s="45"/>
      <c r="F21" s="45"/>
      <c r="G21" s="45"/>
      <c r="H21" s="62"/>
      <c r="I21" s="2"/>
    </row>
    <row r="22" spans="1:15" x14ac:dyDescent="0.2">
      <c r="A22" s="58" t="s">
        <v>321</v>
      </c>
      <c r="B22" t="s">
        <v>322</v>
      </c>
      <c r="C22" s="62"/>
      <c r="D22" s="94">
        <f>'[3]11.2'!D22</f>
        <v>26911723</v>
      </c>
      <c r="E22" s="45"/>
      <c r="F22" s="45"/>
      <c r="I22" s="2"/>
      <c r="K22" t="s">
        <v>357</v>
      </c>
    </row>
    <row r="23" spans="1:15" x14ac:dyDescent="0.2">
      <c r="I23" s="2"/>
      <c r="K23" t="s">
        <v>214</v>
      </c>
      <c r="L23" t="s">
        <v>213</v>
      </c>
    </row>
    <row r="24" spans="1:15" x14ac:dyDescent="0.2">
      <c r="A24" s="58" t="s">
        <v>194</v>
      </c>
      <c r="B24" t="s">
        <v>324</v>
      </c>
      <c r="D24" s="79">
        <f>J18-1</f>
        <v>-9.9999999999999978E-2</v>
      </c>
      <c r="I24" s="2"/>
      <c r="J24" s="260"/>
      <c r="K24" s="31"/>
      <c r="L24" s="94"/>
    </row>
    <row r="25" spans="1:15" x14ac:dyDescent="0.2">
      <c r="A25" s="62"/>
      <c r="I25" s="2"/>
      <c r="J25" s="58" t="s">
        <v>320</v>
      </c>
      <c r="K25" s="84">
        <f>SUM('[2]TWIA 5'!$O$313:$O$316)</f>
        <v>350191338.40000004</v>
      </c>
      <c r="L25" s="84">
        <f>'[3]11.2'!L25</f>
        <v>69991684</v>
      </c>
      <c r="N25" s="19"/>
    </row>
    <row r="26" spans="1:15" x14ac:dyDescent="0.2">
      <c r="A26" s="58" t="s">
        <v>144</v>
      </c>
      <c r="B26" s="45" t="s">
        <v>325</v>
      </c>
      <c r="D26" s="19">
        <f>ROUND(D22*(1+D24)^J20,0)</f>
        <v>24220551</v>
      </c>
      <c r="I26" s="2"/>
      <c r="J26" t="s">
        <v>323</v>
      </c>
      <c r="K26" s="33"/>
      <c r="L26" s="84"/>
    </row>
    <row r="27" spans="1:15" x14ac:dyDescent="0.2">
      <c r="B27" s="62"/>
      <c r="C27" s="62"/>
      <c r="D27" s="62"/>
      <c r="I27" s="2"/>
    </row>
    <row r="28" spans="1:15" x14ac:dyDescent="0.2">
      <c r="A28" s="68" t="s">
        <v>123</v>
      </c>
      <c r="B28" s="62" t="s">
        <v>326</v>
      </c>
      <c r="C28" s="62"/>
      <c r="D28" s="33">
        <f>D10-D26*J35</f>
        <v>60051974.626666673</v>
      </c>
      <c r="I28" s="2"/>
      <c r="J28" t="s">
        <v>218</v>
      </c>
      <c r="L28" t="s">
        <v>313</v>
      </c>
    </row>
    <row r="29" spans="1:15" x14ac:dyDescent="0.2">
      <c r="I29" s="2"/>
      <c r="J29" s="322">
        <v>43465</v>
      </c>
      <c r="L29" s="193">
        <f>DATE(YEAR(J29+1),MONTH(J29+1)-6,1)</f>
        <v>43282</v>
      </c>
    </row>
    <row r="30" spans="1:15" x14ac:dyDescent="0.2">
      <c r="A30" s="58" t="s">
        <v>127</v>
      </c>
      <c r="B30" s="12" t="str">
        <f>"TWIA "&amp;TEXT(YEAR($J$29),"#")&amp;" Earned Premium at Present Rates"</f>
        <v>TWIA 2018 Earned Premium at Present Rates</v>
      </c>
      <c r="D30" s="31">
        <f>SUM($K$25,$L$25)</f>
        <v>420183022.40000004</v>
      </c>
      <c r="I30" s="2"/>
      <c r="J30" s="62"/>
    </row>
    <row r="31" spans="1:15" x14ac:dyDescent="0.2">
      <c r="A31" s="62"/>
      <c r="B31" s="62"/>
      <c r="C31" s="62"/>
      <c r="D31" s="62"/>
      <c r="E31" s="45"/>
      <c r="F31" s="45"/>
      <c r="G31" s="45"/>
      <c r="H31" s="62"/>
      <c r="I31" s="2"/>
      <c r="J31" s="35"/>
    </row>
    <row r="32" spans="1:15" x14ac:dyDescent="0.2">
      <c r="A32" s="58" t="s">
        <v>126</v>
      </c>
      <c r="B32" t="str">
        <f>YEAR($J$10)&amp;" - "&amp;YEAR($K$10)&amp;" TWIA Prospective Earned Premium at Present Rates"</f>
        <v>2019 - 2020 TWIA Prospective Earned Premium at Present Rates</v>
      </c>
      <c r="C32" s="45"/>
      <c r="D32" s="261">
        <f>'[3]11.2'!$D$32</f>
        <v>361909628</v>
      </c>
      <c r="E32" s="45"/>
      <c r="F32" s="45"/>
      <c r="G32" s="45"/>
      <c r="H32" s="62"/>
      <c r="I32" s="2"/>
      <c r="J32" t="s">
        <v>225</v>
      </c>
    </row>
    <row r="33" spans="1:12" x14ac:dyDescent="0.2">
      <c r="I33" s="2"/>
      <c r="J33" s="100">
        <f>ROUND(YEAR(L10)-YEAR(L29)+(MONTH(L10)-MONTH(L29))/12,3)</f>
        <v>1.417</v>
      </c>
      <c r="L33" s="88"/>
    </row>
    <row r="34" spans="1:12" x14ac:dyDescent="0.2">
      <c r="A34" s="58" t="s">
        <v>125</v>
      </c>
      <c r="B34" t="s">
        <v>327</v>
      </c>
      <c r="D34" s="63">
        <f>'[3]11.2'!$D$34</f>
        <v>0.16593085671284399</v>
      </c>
      <c r="I34" s="2"/>
    </row>
    <row r="35" spans="1:12" ht="12" thickBot="1" x14ac:dyDescent="0.25">
      <c r="A35" s="6"/>
      <c r="B35" s="6"/>
      <c r="C35" s="6"/>
      <c r="D35" s="6"/>
      <c r="I35" s="2"/>
      <c r="J35" s="321">
        <f>1.15</f>
        <v>1.1499999999999999</v>
      </c>
    </row>
    <row r="36" spans="1:12" ht="12" thickTop="1" x14ac:dyDescent="0.2">
      <c r="I36" s="2"/>
    </row>
    <row r="37" spans="1:12" x14ac:dyDescent="0.2">
      <c r="A37" t="s">
        <v>18</v>
      </c>
      <c r="D37" s="45"/>
      <c r="I37" s="2"/>
    </row>
    <row r="38" spans="1:12" x14ac:dyDescent="0.2">
      <c r="B38" t="str">
        <f>A10&amp;" From TWIA reinsurance contract effective "&amp;TEXT($J$10,"m/d/yyyy")&amp;" through "&amp;TEXT($K$10,"m/d/yyyy")</f>
        <v>(1) From TWIA reinsurance contract effective 6/1/2019 through 5/31/2020</v>
      </c>
      <c r="C38" s="22"/>
      <c r="I38" s="2"/>
    </row>
    <row r="39" spans="1:12" x14ac:dyDescent="0.2">
      <c r="B39" s="62" t="str">
        <f>A12&amp;" Provided by Guy Carpenter, based on AIR model using TWIA exposures as of "&amp;TEXT($J$14,"mm/dd/yyyy")&amp;" and adjusted for ALAE"</f>
        <v>(2a) Provided by Guy Carpenter, based on AIR model using TWIA exposures as of 11/30/2018 and adjusted for ALAE</v>
      </c>
      <c r="C39" s="22"/>
      <c r="I39" s="2"/>
    </row>
    <row r="40" spans="1:12" x14ac:dyDescent="0.2">
      <c r="B40" s="62" t="str">
        <f>A17&amp;" Provided by Guy Carpenter, based on RMS model using TWIA exposures as of "&amp;TEXT($J$14,"mm/dd/yyyy")&amp;" and adjusted for ALAE"</f>
        <v>(2b) Provided by Guy Carpenter, based on RMS model using TWIA exposures as of 11/30/2018 and adjusted for ALAE</v>
      </c>
      <c r="C40" s="22"/>
      <c r="I40" s="2"/>
    </row>
    <row r="41" spans="1:12" x14ac:dyDescent="0.2">
      <c r="B41" s="62" t="str">
        <f>A22&amp;" Selected equal to the average of the modeled average annual losses"</f>
        <v>(2c) Selected equal to the average of the modeled average annual losses</v>
      </c>
      <c r="I41" s="2"/>
    </row>
    <row r="42" spans="1:12" x14ac:dyDescent="0.2">
      <c r="B42" s="62" t="str">
        <f>A24&amp;" Selected based on projections communicated to reinsurers"</f>
        <v>(3) Selected based on projections communicated to reinsurers</v>
      </c>
      <c r="I42" s="2"/>
    </row>
    <row r="43" spans="1:12" x14ac:dyDescent="0.2">
      <c r="B43" s="326" t="str">
        <f>'[3]11.2'!$B$43</f>
        <v>(4) = (2c) * [(1+ (3)) ^ 1.000](projected exposure growth from 11/30/2018 to 12/1/2019)</v>
      </c>
      <c r="C43" s="62"/>
      <c r="I43" s="2"/>
    </row>
    <row r="44" spans="1:12" x14ac:dyDescent="0.2">
      <c r="B44" s="62" t="str">
        <f>A28&amp;" = "&amp;A10&amp;" - "&amp;A26&amp;"*"&amp;J35&amp;","&amp;J35&amp;" is the loading for loss adjustment factor"</f>
        <v>(5) = (1) - (4)*1.15,1.15 is the loading for loss adjustment factor</v>
      </c>
      <c r="C44" s="62"/>
      <c r="I44" s="2"/>
    </row>
    <row r="45" spans="1:12" x14ac:dyDescent="0.2">
      <c r="B45" s="203" t="str">
        <f>A30&amp;" = Commercial "&amp;'[3]10.1'!$J$1&amp;", "&amp;'[3]10.1'!$J$2&amp;" + Residential "&amp;'10.2'!$J$1&amp;", "&amp;'10.2'!$J$2&amp;", calendar year ending "&amp;TEXT($J$29,"m/d/xx")</f>
        <v>(6) = Commercial Exhibit 10, Sheet 1 + Residential Exhibit 10, Sheet 2, calendar year ending 12/31/xx</v>
      </c>
      <c r="C45" s="22"/>
      <c r="I45" s="2"/>
    </row>
    <row r="46" spans="1:12" x14ac:dyDescent="0.2">
      <c r="A46" s="58"/>
      <c r="B46" s="62" t="str">
        <f>'[3]11.2'!$B$46</f>
        <v>(7) = (6) adjusted for exposure growth trend * [(1+ (3)) ^ 1.417] (projected exposure growth from 7/1/2018 to 12/1/2019)</v>
      </c>
      <c r="C46" s="62"/>
      <c r="D46" s="62"/>
      <c r="E46" s="45"/>
      <c r="F46" s="45"/>
      <c r="G46" s="45"/>
      <c r="H46" s="62"/>
      <c r="I46" s="2"/>
    </row>
    <row r="47" spans="1:12" x14ac:dyDescent="0.2">
      <c r="A47" s="58"/>
      <c r="B47" s="62" t="str">
        <f>A34&amp;" = "&amp;A28&amp;" / "&amp;A32</f>
        <v>(8) = (5) / (7)</v>
      </c>
      <c r="I47" s="2"/>
    </row>
    <row r="48" spans="1:12" x14ac:dyDescent="0.2">
      <c r="A48" s="50"/>
      <c r="B48" s="50"/>
      <c r="C48" s="50"/>
      <c r="D48" s="50"/>
      <c r="I48" s="2"/>
    </row>
    <row r="49" spans="1:9" x14ac:dyDescent="0.2">
      <c r="A49" s="45"/>
      <c r="C49" s="22"/>
      <c r="D49" s="45"/>
      <c r="E49" s="45"/>
      <c r="F49" s="45"/>
      <c r="G49" s="45"/>
      <c r="H49" s="62"/>
      <c r="I49" s="2"/>
    </row>
    <row r="50" spans="1:9" x14ac:dyDescent="0.2">
      <c r="A50" s="62"/>
      <c r="B50" s="62"/>
      <c r="C50" s="22"/>
      <c r="D50" s="94"/>
      <c r="E50" s="45"/>
      <c r="F50" s="45"/>
      <c r="G50" s="45"/>
      <c r="H50" s="62"/>
      <c r="I50" s="2"/>
    </row>
    <row r="51" spans="1:9" x14ac:dyDescent="0.2">
      <c r="C51" s="94"/>
      <c r="D51" s="94"/>
      <c r="E51" s="45"/>
      <c r="F51" s="45"/>
      <c r="I51" s="2"/>
    </row>
    <row r="52" spans="1:9" x14ac:dyDescent="0.2">
      <c r="C52" s="94"/>
      <c r="D52" s="94"/>
      <c r="I52" s="2"/>
    </row>
    <row r="53" spans="1:9" s="62" customFormat="1" x14ac:dyDescent="0.2">
      <c r="A53"/>
      <c r="B53"/>
      <c r="C53" s="22"/>
      <c r="D53" s="94"/>
      <c r="E53" s="50"/>
      <c r="F53" s="50"/>
      <c r="G53" s="50"/>
      <c r="H53"/>
      <c r="I53" s="2"/>
    </row>
    <row r="54" spans="1:9" s="62" customFormat="1" x14ac:dyDescent="0.2">
      <c r="A54" s="58"/>
      <c r="B54"/>
      <c r="C54"/>
      <c r="D54" s="63"/>
      <c r="E54" s="50"/>
      <c r="F54" s="50"/>
      <c r="G54" s="50"/>
      <c r="H54"/>
      <c r="I54" s="2"/>
    </row>
    <row r="55" spans="1:9" s="62" customFormat="1" x14ac:dyDescent="0.2">
      <c r="A55"/>
      <c r="B55"/>
      <c r="C55"/>
      <c r="D55"/>
      <c r="E55" s="50"/>
      <c r="F55" s="50"/>
      <c r="G55" s="50"/>
      <c r="H55"/>
      <c r="I55" s="2"/>
    </row>
    <row r="56" spans="1:9" s="62" customFormat="1" x14ac:dyDescent="0.2">
      <c r="A56" s="58"/>
      <c r="B56"/>
      <c r="C56"/>
      <c r="D56" s="19"/>
      <c r="E56" s="19"/>
      <c r="F56" s="19"/>
      <c r="G56" s="50"/>
      <c r="H56"/>
      <c r="I56" s="2"/>
    </row>
    <row r="57" spans="1:9" s="62" customFormat="1" x14ac:dyDescent="0.2">
      <c r="A57" s="50"/>
      <c r="B57" s="50"/>
      <c r="C57" s="50"/>
      <c r="D57" s="50"/>
      <c r="E57" s="50"/>
      <c r="F57" s="50"/>
      <c r="G57" s="50"/>
      <c r="H57"/>
      <c r="I57" s="2"/>
    </row>
    <row r="58" spans="1:9" s="62" customFormat="1" x14ac:dyDescent="0.2">
      <c r="A58"/>
      <c r="B58"/>
      <c r="C58"/>
      <c r="D58"/>
      <c r="E58" s="50"/>
      <c r="F58" s="50"/>
      <c r="G58" s="50"/>
      <c r="H58"/>
      <c r="I58" s="2"/>
    </row>
    <row r="59" spans="1:9" s="62" customFormat="1" x14ac:dyDescent="0.2">
      <c r="A59" s="68"/>
      <c r="B59" s="68"/>
      <c r="D59" s="38"/>
      <c r="E59" s="49"/>
      <c r="F59" s="49"/>
      <c r="G59" s="49"/>
      <c r="I59" s="2"/>
    </row>
    <row r="60" spans="1:9" s="62" customFormat="1" x14ac:dyDescent="0.2">
      <c r="A60" s="68"/>
      <c r="B60" s="68"/>
      <c r="D60" s="38"/>
      <c r="E60" s="49"/>
      <c r="F60" s="49"/>
      <c r="G60" s="49"/>
      <c r="I60" s="2"/>
    </row>
    <row r="61" spans="1:9" s="62" customFormat="1" x14ac:dyDescent="0.2">
      <c r="A61" s="68"/>
      <c r="B61" s="68"/>
      <c r="D61" s="38"/>
      <c r="E61" s="49"/>
      <c r="F61" s="49"/>
      <c r="G61" s="49"/>
      <c r="I61" s="2"/>
    </row>
    <row r="62" spans="1:9" s="62" customFormat="1" x14ac:dyDescent="0.2">
      <c r="A62" s="68"/>
      <c r="B62" s="68"/>
      <c r="D62" s="38"/>
      <c r="E62" s="49"/>
      <c r="F62" s="49"/>
      <c r="G62" s="49"/>
      <c r="I62" s="2"/>
    </row>
    <row r="63" spans="1:9" s="62" customFormat="1" x14ac:dyDescent="0.2">
      <c r="A63" s="68"/>
      <c r="B63" s="68"/>
      <c r="D63" s="38"/>
      <c r="E63" s="49"/>
      <c r="F63" s="49"/>
      <c r="G63" s="49"/>
      <c r="I63" s="2"/>
    </row>
    <row r="64" spans="1:9" s="62" customFormat="1" x14ac:dyDescent="0.2">
      <c r="A64" s="68"/>
      <c r="B64" s="68"/>
      <c r="D64" s="38"/>
      <c r="E64" s="49"/>
      <c r="F64" s="49"/>
      <c r="G64" s="49"/>
      <c r="I64" s="2"/>
    </row>
    <row r="65" spans="1:9" s="62" customFormat="1" x14ac:dyDescent="0.2">
      <c r="A65" s="68"/>
      <c r="B65" s="68"/>
      <c r="D65" s="29"/>
      <c r="E65" s="66"/>
      <c r="F65" s="66"/>
      <c r="G65" s="66"/>
      <c r="I65" s="2"/>
    </row>
    <row r="66" spans="1:9" x14ac:dyDescent="0.2">
      <c r="C66" s="25"/>
      <c r="D66" s="63"/>
      <c r="E66" s="53"/>
      <c r="F66" s="53"/>
      <c r="G66" s="53"/>
      <c r="I66" s="2"/>
    </row>
    <row r="67" spans="1:9" x14ac:dyDescent="0.2">
      <c r="C67" s="25"/>
      <c r="D67" s="63"/>
      <c r="E67" s="53"/>
      <c r="F67" s="53"/>
      <c r="G67" s="53"/>
      <c r="I67" s="2"/>
    </row>
    <row r="68" spans="1:9" ht="12" thickBot="1" x14ac:dyDescent="0.25">
      <c r="C68" s="25"/>
      <c r="D68" s="63"/>
      <c r="E68" s="53"/>
      <c r="F68" s="53"/>
      <c r="G68" s="53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69"/>
  <sheetViews>
    <sheetView topLeftCell="A13" zoomScaleNormal="100" workbookViewId="0">
      <selection activeCell="G34" sqref="G34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33</v>
      </c>
      <c r="K2" s="2"/>
    </row>
    <row r="3" spans="1:12" x14ac:dyDescent="0.2">
      <c r="A3" s="8" t="str">
        <f>'1'!$A$3</f>
        <v>Rate Level Review</v>
      </c>
      <c r="B3" s="12"/>
      <c r="I3" s="50"/>
      <c r="J3" s="134"/>
      <c r="K3" s="2"/>
    </row>
    <row r="4" spans="1:12" x14ac:dyDescent="0.2">
      <c r="A4" t="s">
        <v>336</v>
      </c>
      <c r="B4" s="12"/>
      <c r="I4" s="50"/>
      <c r="K4" s="2"/>
    </row>
    <row r="5" spans="1:12" x14ac:dyDescent="0.2">
      <c r="A5" t="s">
        <v>32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  <c r="L7" t="s">
        <v>220</v>
      </c>
    </row>
    <row r="8" spans="1:12" ht="12" thickTop="1" x14ac:dyDescent="0.2">
      <c r="I8" s="50"/>
      <c r="K8" s="2"/>
      <c r="L8" s="88">
        <f>'2.4a'!L$22</f>
        <v>43373</v>
      </c>
    </row>
    <row r="9" spans="1:12" x14ac:dyDescent="0.2">
      <c r="A9" t="s">
        <v>34</v>
      </c>
      <c r="C9" s="22" t="s">
        <v>36</v>
      </c>
      <c r="E9" t="s">
        <v>39</v>
      </c>
      <c r="F9" t="s">
        <v>41</v>
      </c>
      <c r="G9" t="s">
        <v>45</v>
      </c>
      <c r="H9" t="s">
        <v>13</v>
      </c>
      <c r="I9" s="50"/>
      <c r="K9" s="2"/>
      <c r="L9" s="27"/>
    </row>
    <row r="10" spans="1:12" x14ac:dyDescent="0.2">
      <c r="A10" t="s">
        <v>35</v>
      </c>
      <c r="C10" t="s">
        <v>8</v>
      </c>
      <c r="D10" t="s">
        <v>37</v>
      </c>
      <c r="E10" t="s">
        <v>40</v>
      </c>
      <c r="F10" t="s">
        <v>8</v>
      </c>
      <c r="G10" t="s">
        <v>43</v>
      </c>
      <c r="H10" t="s">
        <v>8</v>
      </c>
      <c r="I10" s="50"/>
      <c r="K10" s="2"/>
    </row>
    <row r="11" spans="1:12" x14ac:dyDescent="0.2">
      <c r="A11" s="9" t="str">
        <f>TEXT($L$8,"m/d/xx")</f>
        <v>9/30/xx</v>
      </c>
      <c r="B11" s="9"/>
      <c r="C11" s="9" t="s">
        <v>42</v>
      </c>
      <c r="D11" s="9" t="s">
        <v>38</v>
      </c>
      <c r="E11" s="9" t="s">
        <v>38</v>
      </c>
      <c r="F11" s="9" t="s">
        <v>11</v>
      </c>
      <c r="G11" s="9" t="s">
        <v>44</v>
      </c>
      <c r="H11" s="9" t="s">
        <v>30</v>
      </c>
      <c r="I11" s="50"/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20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2009</v>
      </c>
      <c r="B14" s="25"/>
      <c r="C14" s="33">
        <f>'2.3a'!E14</f>
        <v>3455233</v>
      </c>
      <c r="D14" s="36">
        <f>'4.1'!$E$60</f>
        <v>0.26800000000000002</v>
      </c>
      <c r="E14" s="35">
        <f>'trend 2.5'!$G30</f>
        <v>1.161</v>
      </c>
      <c r="F14" s="19">
        <f>ROUND(C14*(1+D14)*E14,0)</f>
        <v>5086614</v>
      </c>
      <c r="G14" s="33">
        <f>'10.1a'!E14</f>
        <v>121162062</v>
      </c>
      <c r="H14" s="20">
        <f>ROUND(F14/G14,3)</f>
        <v>4.2000000000000003E-2</v>
      </c>
      <c r="I14" s="172"/>
      <c r="K14" s="2"/>
    </row>
    <row r="15" spans="1:12" x14ac:dyDescent="0.2">
      <c r="A15" t="str">
        <f t="shared" si="1"/>
        <v>2010</v>
      </c>
      <c r="B15" s="25"/>
      <c r="C15" s="33">
        <f>'2.3a'!E15</f>
        <v>1264721</v>
      </c>
      <c r="D15" s="36">
        <f t="shared" ref="D15:D23" si="2">D$14</f>
        <v>0.26800000000000002</v>
      </c>
      <c r="E15" s="35">
        <f>'trend 2.5'!$G31</f>
        <v>1.161</v>
      </c>
      <c r="F15" s="19">
        <f t="shared" ref="F15:F22" si="3">ROUND(C15*(1+D15)*E15,0)</f>
        <v>1861856</v>
      </c>
      <c r="G15" s="33">
        <f>'10.1a'!E15</f>
        <v>124702532</v>
      </c>
      <c r="H15" s="20">
        <f t="shared" ref="H15:H20" si="4">ROUND(F15/G15,3)</f>
        <v>1.4999999999999999E-2</v>
      </c>
      <c r="I15" s="172"/>
      <c r="K15" s="2"/>
    </row>
    <row r="16" spans="1:12" x14ac:dyDescent="0.2">
      <c r="A16" t="str">
        <f t="shared" si="1"/>
        <v>2011</v>
      </c>
      <c r="B16" s="25"/>
      <c r="C16" s="33">
        <f>'2.3a'!E16</f>
        <v>1277401</v>
      </c>
      <c r="D16" s="36">
        <f t="shared" si="2"/>
        <v>0.26800000000000002</v>
      </c>
      <c r="E16" s="35">
        <f>'trend 2.5'!$G32</f>
        <v>1.153</v>
      </c>
      <c r="F16" s="19">
        <f t="shared" si="3"/>
        <v>1867565</v>
      </c>
      <c r="G16" s="33">
        <f>'10.1a'!E16</f>
        <v>126684509</v>
      </c>
      <c r="H16" s="20">
        <f t="shared" si="4"/>
        <v>1.4999999999999999E-2</v>
      </c>
      <c r="I16" s="172"/>
      <c r="K16" s="2"/>
    </row>
    <row r="17" spans="1:11" x14ac:dyDescent="0.2">
      <c r="A17" t="str">
        <f t="shared" si="1"/>
        <v>2012</v>
      </c>
      <c r="B17" s="25"/>
      <c r="C17" s="33">
        <f>'2.3a'!E17</f>
        <v>10634874</v>
      </c>
      <c r="D17" s="36">
        <f t="shared" si="2"/>
        <v>0.26800000000000002</v>
      </c>
      <c r="E17" s="35">
        <f>'trend 2.5'!$G33</f>
        <v>1.1220000000000001</v>
      </c>
      <c r="F17" s="19">
        <f t="shared" si="3"/>
        <v>15130193</v>
      </c>
      <c r="G17" s="33">
        <f>'10.1a'!E17</f>
        <v>128914788</v>
      </c>
      <c r="H17" s="20">
        <f t="shared" si="4"/>
        <v>0.11700000000000001</v>
      </c>
      <c r="I17" s="172"/>
      <c r="K17" s="2"/>
    </row>
    <row r="18" spans="1:11" x14ac:dyDescent="0.2">
      <c r="A18" t="str">
        <f t="shared" si="1"/>
        <v>2013</v>
      </c>
      <c r="B18" s="25"/>
      <c r="C18" s="33">
        <f>'2.3a'!E18</f>
        <v>54112476</v>
      </c>
      <c r="D18" s="36">
        <f t="shared" si="2"/>
        <v>0.26800000000000002</v>
      </c>
      <c r="E18" s="35">
        <f>'trend 2.5'!$G34</f>
        <v>1.1140000000000001</v>
      </c>
      <c r="F18" s="19">
        <f t="shared" si="3"/>
        <v>76436686</v>
      </c>
      <c r="G18" s="33">
        <f>'10.1a'!E18</f>
        <v>131926783</v>
      </c>
      <c r="H18" s="20">
        <f t="shared" si="4"/>
        <v>0.57899999999999996</v>
      </c>
      <c r="I18" s="172"/>
      <c r="K18" s="2"/>
    </row>
    <row r="19" spans="1:11" x14ac:dyDescent="0.2">
      <c r="A19" t="str">
        <f t="shared" si="1"/>
        <v>2014</v>
      </c>
      <c r="B19" s="25"/>
      <c r="C19" s="33">
        <f>'2.3a'!E19</f>
        <v>523227</v>
      </c>
      <c r="D19" s="36">
        <f t="shared" si="2"/>
        <v>0.26800000000000002</v>
      </c>
      <c r="E19" s="35">
        <f>'trend 2.5'!$G35</f>
        <v>1.0920000000000001</v>
      </c>
      <c r="F19" s="19">
        <f>ROUND(C19*(1+D19)*E19,0)</f>
        <v>724489</v>
      </c>
      <c r="G19" s="33">
        <f>'10.1a'!E19</f>
        <v>134663386</v>
      </c>
      <c r="H19" s="20">
        <f t="shared" si="4"/>
        <v>5.0000000000000001E-3</v>
      </c>
      <c r="I19" s="172"/>
      <c r="K19" s="2"/>
    </row>
    <row r="20" spans="1:11" x14ac:dyDescent="0.2">
      <c r="A20" t="str">
        <f t="shared" si="1"/>
        <v>2015</v>
      </c>
      <c r="B20" s="25"/>
      <c r="C20" s="33">
        <f>'2.3a'!E20</f>
        <v>17728951</v>
      </c>
      <c r="D20" s="36">
        <f t="shared" si="2"/>
        <v>0.26800000000000002</v>
      </c>
      <c r="E20" s="35">
        <f>'trend 2.5'!$G36</f>
        <v>1.0780000000000001</v>
      </c>
      <c r="F20" s="19">
        <f t="shared" si="3"/>
        <v>24233774</v>
      </c>
      <c r="G20" s="33">
        <f>'10.1a'!E20</f>
        <v>136975647</v>
      </c>
      <c r="H20" s="20">
        <f t="shared" si="4"/>
        <v>0.17699999999999999</v>
      </c>
      <c r="I20" s="172"/>
      <c r="K20" s="2"/>
    </row>
    <row r="21" spans="1:11" x14ac:dyDescent="0.2">
      <c r="A21" t="str">
        <f t="shared" si="1"/>
        <v>2016</v>
      </c>
      <c r="B21" s="25"/>
      <c r="C21" s="33">
        <f>'2.3a'!E21</f>
        <v>11392452</v>
      </c>
      <c r="D21" s="36">
        <f t="shared" si="2"/>
        <v>0.26800000000000002</v>
      </c>
      <c r="E21" s="35">
        <f>'trend 2.5'!$G37</f>
        <v>1.083</v>
      </c>
      <c r="F21" s="19">
        <f t="shared" si="3"/>
        <v>15644616</v>
      </c>
      <c r="G21" s="33">
        <f>'10.1a'!E21</f>
        <v>133431908</v>
      </c>
      <c r="H21" s="20">
        <f>ROUND(F21/G21,3)</f>
        <v>0.11700000000000001</v>
      </c>
      <c r="I21" s="172"/>
      <c r="K21" s="2"/>
    </row>
    <row r="22" spans="1:11" x14ac:dyDescent="0.2">
      <c r="A22" t="str">
        <f t="shared" si="1"/>
        <v>2017</v>
      </c>
      <c r="B22" s="51"/>
      <c r="C22" s="49">
        <f>'2.3a'!E22</f>
        <v>2768398</v>
      </c>
      <c r="D22" s="78">
        <f t="shared" si="2"/>
        <v>0.26800000000000002</v>
      </c>
      <c r="E22" s="107">
        <f>'trend 2.5'!$G38</f>
        <v>1.0640000000000001</v>
      </c>
      <c r="F22" s="60">
        <f t="shared" si="3"/>
        <v>3734990</v>
      </c>
      <c r="G22" s="49">
        <f>'10.1a'!E22</f>
        <v>126682785</v>
      </c>
      <c r="H22" s="172">
        <f>ROUND(F22/G22,3)</f>
        <v>2.9000000000000001E-2</v>
      </c>
      <c r="I22" s="172"/>
      <c r="K22" s="2"/>
    </row>
    <row r="23" spans="1:11" x14ac:dyDescent="0.2">
      <c r="A23" t="str">
        <f>TEXT(YEAR($L$8),"#")</f>
        <v>2018</v>
      </c>
      <c r="B23" s="51"/>
      <c r="C23" s="49">
        <f>'2.3a'!E23</f>
        <v>2609112</v>
      </c>
      <c r="D23" s="78">
        <f t="shared" si="2"/>
        <v>0.26800000000000002</v>
      </c>
      <c r="E23" s="107">
        <f>'trend 2.5'!$G39</f>
        <v>1.034</v>
      </c>
      <c r="F23" s="60">
        <f>ROUND(C23*(1+D23)*E23,0)</f>
        <v>3420838</v>
      </c>
      <c r="G23" s="49">
        <f>'10.1a'!E23</f>
        <v>115596430</v>
      </c>
      <c r="H23" s="172">
        <f>ROUND(F23/G23,3)</f>
        <v>0.03</v>
      </c>
      <c r="K23" s="2"/>
    </row>
    <row r="24" spans="1:11" x14ac:dyDescent="0.2">
      <c r="A24" s="9"/>
      <c r="B24" s="26"/>
      <c r="C24" s="34"/>
      <c r="D24" s="37"/>
      <c r="E24" s="69"/>
      <c r="F24" s="28"/>
      <c r="G24" s="34"/>
      <c r="H24" s="21"/>
      <c r="I24" s="50"/>
      <c r="K24" s="2"/>
    </row>
    <row r="25" spans="1:11" x14ac:dyDescent="0.2">
      <c r="I25" s="172"/>
      <c r="J25" s="20"/>
      <c r="K25" s="2"/>
    </row>
    <row r="26" spans="1:11" x14ac:dyDescent="0.2">
      <c r="A26" t="s">
        <v>9</v>
      </c>
      <c r="C26" s="19">
        <f>SUM(C14:C24)</f>
        <v>105766845</v>
      </c>
      <c r="F26" s="19">
        <f>SUM(F14:F24)</f>
        <v>148141621</v>
      </c>
      <c r="G26" s="19">
        <f>SUM(G14:G24)</f>
        <v>1280740830</v>
      </c>
      <c r="H26" s="20">
        <f>ROUND(F26/G26,3)</f>
        <v>0.11600000000000001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18</v>
      </c>
      <c r="I29" s="50"/>
      <c r="K29" s="2"/>
    </row>
    <row r="30" spans="1:11" x14ac:dyDescent="0.2">
      <c r="B30" s="22" t="str">
        <f>C12&amp;" "&amp;'2.3a'!$J$1&amp;", "&amp;'2.3a'!$J$2</f>
        <v>(2) Exhibit 2, Sheet 3a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"&amp;'10.1a'!$J$1&amp;", "&amp;'10.1a'!$J$2</f>
        <v>(6) Exhibit 10, Sheet 1a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B37" s="25"/>
      <c r="I37" s="50"/>
      <c r="K37" s="2"/>
    </row>
    <row r="38" spans="1:11" x14ac:dyDescent="0.2">
      <c r="A38" s="62"/>
      <c r="B38" s="25"/>
      <c r="I38" s="50"/>
      <c r="K38" s="2"/>
    </row>
    <row r="39" spans="1:11" x14ac:dyDescent="0.2">
      <c r="I39" s="50"/>
      <c r="K39" s="2"/>
    </row>
    <row r="40" spans="1:11" x14ac:dyDescent="0.2">
      <c r="I40" s="50"/>
      <c r="K40" s="2"/>
    </row>
    <row r="41" spans="1:11" x14ac:dyDescent="0.2"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/>
  <dimension ref="A1:L73"/>
  <sheetViews>
    <sheetView topLeftCell="E15" zoomScaleNormal="100" zoomScaleSheetLayoutView="100" workbookViewId="0">
      <selection activeCell="G58" sqref="G58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190</v>
      </c>
      <c r="K1" s="1"/>
    </row>
    <row r="2" spans="1:12" x14ac:dyDescent="0.2">
      <c r="A2" s="8" t="str">
        <f>'1'!$A$2</f>
        <v>Residential Property - Wind &amp; Hail</v>
      </c>
      <c r="B2" s="12"/>
      <c r="J2" s="7"/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210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I7" s="50"/>
      <c r="K7" s="2"/>
    </row>
    <row r="8" spans="1:12" ht="12" thickTop="1" x14ac:dyDescent="0.2">
      <c r="K8" s="2"/>
    </row>
    <row r="9" spans="1:12" x14ac:dyDescent="0.2">
      <c r="C9" s="24" t="s">
        <v>212</v>
      </c>
      <c r="F9" t="s">
        <v>169</v>
      </c>
      <c r="K9" s="2"/>
      <c r="L9" s="27"/>
    </row>
    <row r="10" spans="1:12" x14ac:dyDescent="0.2">
      <c r="A10" t="s">
        <v>211</v>
      </c>
      <c r="F10" t="s">
        <v>216</v>
      </c>
      <c r="K10" s="2"/>
      <c r="L10" s="22"/>
    </row>
    <row r="11" spans="1:12" x14ac:dyDescent="0.2">
      <c r="A11" s="9" t="s">
        <v>55</v>
      </c>
      <c r="B11" s="9"/>
      <c r="C11" s="9" t="s">
        <v>213</v>
      </c>
      <c r="D11" s="9" t="s">
        <v>214</v>
      </c>
      <c r="E11" s="9" t="s">
        <v>9</v>
      </c>
      <c r="F11" s="9" t="s">
        <v>215</v>
      </c>
      <c r="G11" s="9" t="s">
        <v>217</v>
      </c>
      <c r="I11" s="50"/>
      <c r="K11" s="2"/>
      <c r="L11" s="5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I12" s="11"/>
      <c r="K12" s="2"/>
    </row>
    <row r="13" spans="1:12" x14ac:dyDescent="0.2">
      <c r="K13" s="2"/>
    </row>
    <row r="14" spans="1:12" x14ac:dyDescent="0.2">
      <c r="A14" s="194">
        <v>1994</v>
      </c>
      <c r="B14" s="22"/>
      <c r="C14" s="84">
        <f>'[3]12.2'!C14</f>
        <v>10672677</v>
      </c>
      <c r="D14" s="84">
        <f>'[3]12.2'!D14</f>
        <v>15758330</v>
      </c>
      <c r="E14" s="31">
        <f>SUM(C14:D14)</f>
        <v>26431007</v>
      </c>
      <c r="F14" s="84">
        <f>'[3]12.2'!F14</f>
        <v>26510501</v>
      </c>
      <c r="G14" s="80">
        <f t="shared" ref="G14:G30" si="0">E14-F14</f>
        <v>-79494</v>
      </c>
      <c r="I14" s="80"/>
      <c r="K14" s="2"/>
      <c r="L14" s="20"/>
    </row>
    <row r="15" spans="1:12" x14ac:dyDescent="0.2">
      <c r="A15" t="str">
        <f>TEXT(A14+1,"#")</f>
        <v>1995</v>
      </c>
      <c r="B15" s="22"/>
      <c r="C15" s="84">
        <f>'[3]12.2'!C15</f>
        <v>12865905</v>
      </c>
      <c r="D15" s="84">
        <f>'[3]12.2'!D15</f>
        <v>19259265</v>
      </c>
      <c r="E15" s="31">
        <f t="shared" ref="E15:E30" si="1">SUM(C15:D15)</f>
        <v>32125170</v>
      </c>
      <c r="F15" s="84">
        <f>'[3]12.2'!F15</f>
        <v>32419287</v>
      </c>
      <c r="G15" s="80">
        <f t="shared" si="0"/>
        <v>-294117</v>
      </c>
      <c r="I15" s="80"/>
      <c r="K15" s="2"/>
      <c r="L15" s="20"/>
    </row>
    <row r="16" spans="1:12" x14ac:dyDescent="0.2">
      <c r="A16" t="str">
        <f t="shared" ref="A16:A30" si="2">TEXT(A15+1,"#")</f>
        <v>1996</v>
      </c>
      <c r="C16" s="84">
        <f>'[3]12.2'!C16</f>
        <v>15640660</v>
      </c>
      <c r="D16" s="84">
        <f>'[3]12.2'!D16</f>
        <v>24504127</v>
      </c>
      <c r="E16" s="31">
        <f t="shared" si="1"/>
        <v>40144787</v>
      </c>
      <c r="F16" s="84">
        <f>'[3]12.2'!F16</f>
        <v>40358575</v>
      </c>
      <c r="G16" s="80">
        <f t="shared" si="0"/>
        <v>-213788</v>
      </c>
      <c r="I16" s="80"/>
      <c r="K16" s="2"/>
      <c r="L16" s="20"/>
    </row>
    <row r="17" spans="1:12" x14ac:dyDescent="0.2">
      <c r="A17" t="str">
        <f t="shared" si="2"/>
        <v>1997</v>
      </c>
      <c r="C17" s="84">
        <f>'[3]12.2'!C17</f>
        <v>16536186</v>
      </c>
      <c r="D17" s="84">
        <f>'[3]12.2'!D17</f>
        <v>25783455</v>
      </c>
      <c r="E17" s="31">
        <f t="shared" si="1"/>
        <v>42319641</v>
      </c>
      <c r="F17" s="84">
        <f>'[3]12.2'!F17</f>
        <v>42462844</v>
      </c>
      <c r="G17" s="80">
        <f t="shared" si="0"/>
        <v>-143203</v>
      </c>
      <c r="I17" s="80"/>
      <c r="K17" s="2"/>
      <c r="L17" s="20"/>
    </row>
    <row r="18" spans="1:12" x14ac:dyDescent="0.2">
      <c r="A18" t="str">
        <f t="shared" si="2"/>
        <v>1998</v>
      </c>
      <c r="C18" s="84">
        <f>'[3]12.2'!C18</f>
        <v>16558977</v>
      </c>
      <c r="D18" s="84">
        <f>'[3]12.2'!D18</f>
        <v>27833800</v>
      </c>
      <c r="E18" s="31">
        <f t="shared" si="1"/>
        <v>44392777</v>
      </c>
      <c r="F18" s="84">
        <f>'[3]12.2'!F18</f>
        <v>44410914</v>
      </c>
      <c r="G18" s="80">
        <f t="shared" si="0"/>
        <v>-18137</v>
      </c>
      <c r="I18" s="80"/>
      <c r="K18" s="2"/>
      <c r="L18" s="20"/>
    </row>
    <row r="19" spans="1:12" x14ac:dyDescent="0.2">
      <c r="A19" t="str">
        <f t="shared" si="2"/>
        <v>1999</v>
      </c>
      <c r="C19" s="84">
        <f>'[3]12.2'!C19</f>
        <v>17394142.049999997</v>
      </c>
      <c r="D19" s="84">
        <f>'[3]12.2'!D19</f>
        <v>27168992</v>
      </c>
      <c r="E19" s="31">
        <f t="shared" si="1"/>
        <v>44563134.049999997</v>
      </c>
      <c r="F19" s="84">
        <f>'[3]12.2'!F19</f>
        <v>44581218</v>
      </c>
      <c r="G19" s="80">
        <f t="shared" si="0"/>
        <v>-18083.95000000298</v>
      </c>
      <c r="I19" s="80"/>
      <c r="K19" s="2"/>
      <c r="L19" s="20"/>
    </row>
    <row r="20" spans="1:12" x14ac:dyDescent="0.2">
      <c r="A20" t="str">
        <f t="shared" si="2"/>
        <v>2000</v>
      </c>
      <c r="C20" s="84">
        <f>'[3]12.2'!C20</f>
        <v>17332561</v>
      </c>
      <c r="D20" s="84">
        <f>'[3]12.2'!D20</f>
        <v>29762296</v>
      </c>
      <c r="E20" s="31">
        <f t="shared" si="1"/>
        <v>47094857</v>
      </c>
      <c r="F20" s="84">
        <f>'[3]12.2'!F20</f>
        <v>48012426</v>
      </c>
      <c r="G20" s="80">
        <f t="shared" si="0"/>
        <v>-917569</v>
      </c>
      <c r="I20" s="80"/>
      <c r="K20" s="2"/>
      <c r="L20" s="20"/>
    </row>
    <row r="21" spans="1:12" x14ac:dyDescent="0.2">
      <c r="A21" t="str">
        <f t="shared" si="2"/>
        <v>2001</v>
      </c>
      <c r="C21" s="84">
        <f>'[3]12.2'!C21</f>
        <v>17544251</v>
      </c>
      <c r="D21" s="84">
        <f>'[3]12.2'!D21</f>
        <v>36220622.519999996</v>
      </c>
      <c r="E21" s="31">
        <f t="shared" si="1"/>
        <v>53764873.519999996</v>
      </c>
      <c r="F21" s="84">
        <f>'[3]12.2'!F21</f>
        <v>54630727</v>
      </c>
      <c r="G21" s="80">
        <f t="shared" si="0"/>
        <v>-865853.48000000417</v>
      </c>
      <c r="I21" s="80"/>
      <c r="K21" s="2"/>
      <c r="L21" s="20"/>
    </row>
    <row r="22" spans="1:12" x14ac:dyDescent="0.2">
      <c r="A22" t="str">
        <f t="shared" si="2"/>
        <v>2002</v>
      </c>
      <c r="C22" s="84">
        <f>'[3]12.2'!C22</f>
        <v>24013525</v>
      </c>
      <c r="D22" s="84">
        <f>'[3]12.2'!D22</f>
        <v>48856422.25</v>
      </c>
      <c r="E22" s="31">
        <f t="shared" si="1"/>
        <v>72869947.25</v>
      </c>
      <c r="F22" s="84">
        <f>'[3]12.2'!F22</f>
        <v>72967831</v>
      </c>
      <c r="G22" s="80">
        <f t="shared" si="0"/>
        <v>-97883.75</v>
      </c>
      <c r="I22" s="80"/>
      <c r="K22" s="2"/>
      <c r="L22" s="20"/>
    </row>
    <row r="23" spans="1:12" x14ac:dyDescent="0.2">
      <c r="A23" t="str">
        <f t="shared" si="2"/>
        <v>2003</v>
      </c>
      <c r="C23" s="84">
        <f>'[3]12.2'!C23</f>
        <v>29220514</v>
      </c>
      <c r="D23" s="84">
        <f>'[3]12.2'!D23</f>
        <v>58573191</v>
      </c>
      <c r="E23" s="31">
        <f t="shared" si="1"/>
        <v>87793705</v>
      </c>
      <c r="F23" s="84">
        <f>'[3]12.2'!F23</f>
        <v>87987279</v>
      </c>
      <c r="G23" s="80">
        <f t="shared" si="0"/>
        <v>-193574</v>
      </c>
      <c r="I23" s="80"/>
      <c r="K23" s="2"/>
      <c r="L23" s="20"/>
    </row>
    <row r="24" spans="1:12" x14ac:dyDescent="0.2">
      <c r="A24" t="str">
        <f t="shared" si="2"/>
        <v>2004</v>
      </c>
      <c r="C24" s="84">
        <f>'[3]12.2'!C24</f>
        <v>31009323</v>
      </c>
      <c r="D24" s="84">
        <f>'[3]12.2'!D24</f>
        <v>71292702</v>
      </c>
      <c r="E24" s="31">
        <f t="shared" si="1"/>
        <v>102302025</v>
      </c>
      <c r="F24" s="84">
        <f>'[3]12.2'!F24</f>
        <v>102384351</v>
      </c>
      <c r="G24" s="80">
        <f t="shared" si="0"/>
        <v>-82326</v>
      </c>
      <c r="I24" s="80"/>
      <c r="K24" s="2"/>
      <c r="L24" s="20"/>
    </row>
    <row r="25" spans="1:12" x14ac:dyDescent="0.2">
      <c r="A25" t="str">
        <f t="shared" si="2"/>
        <v>2005</v>
      </c>
      <c r="B25" s="25"/>
      <c r="C25" s="84">
        <f>'[3]12.2'!C25</f>
        <v>35740174</v>
      </c>
      <c r="D25" s="84">
        <f>'[3]12.2'!D25</f>
        <v>78094458</v>
      </c>
      <c r="E25" s="31">
        <f t="shared" si="1"/>
        <v>113834632</v>
      </c>
      <c r="F25" s="84">
        <f>'[3]12.2'!F25</f>
        <v>113927701</v>
      </c>
      <c r="G25" s="80">
        <f t="shared" si="0"/>
        <v>-93069</v>
      </c>
      <c r="I25" s="80"/>
      <c r="K25" s="2"/>
      <c r="L25" s="20"/>
    </row>
    <row r="26" spans="1:12" x14ac:dyDescent="0.2">
      <c r="A26" t="str">
        <f t="shared" si="2"/>
        <v>2006</v>
      </c>
      <c r="C26" s="84">
        <f>'[3]12.2'!C26</f>
        <v>76847840</v>
      </c>
      <c r="D26" s="84">
        <f>'[3]12.2'!D26</f>
        <v>119658576</v>
      </c>
      <c r="E26" s="31">
        <f t="shared" si="1"/>
        <v>196506416</v>
      </c>
      <c r="F26" s="84">
        <f>'[3]12.2'!F26</f>
        <v>196833235</v>
      </c>
      <c r="G26" s="80">
        <f t="shared" si="0"/>
        <v>-326819</v>
      </c>
      <c r="I26" s="80"/>
      <c r="K26" s="2"/>
      <c r="L26" s="20"/>
    </row>
    <row r="27" spans="1:12" s="62" customFormat="1" x14ac:dyDescent="0.2">
      <c r="A27" t="str">
        <f t="shared" si="2"/>
        <v>2007</v>
      </c>
      <c r="B27"/>
      <c r="C27" s="84">
        <f>'[3]12.2'!C27</f>
        <v>110951718</v>
      </c>
      <c r="D27" s="84">
        <f>'[3]12.2'!D27</f>
        <v>203561196</v>
      </c>
      <c r="E27" s="31">
        <f t="shared" si="1"/>
        <v>314512914</v>
      </c>
      <c r="F27" s="84">
        <f>'[3]12.2'!F27</f>
        <v>315139307</v>
      </c>
      <c r="G27" s="80">
        <f t="shared" si="0"/>
        <v>-626393</v>
      </c>
      <c r="H27"/>
      <c r="I27" s="80"/>
      <c r="K27" s="2"/>
      <c r="L27" s="20"/>
    </row>
    <row r="28" spans="1:12" x14ac:dyDescent="0.2">
      <c r="A28" s="50" t="str">
        <f t="shared" si="2"/>
        <v>2008</v>
      </c>
      <c r="B28" s="51"/>
      <c r="C28" s="84">
        <f>'[3]12.2'!C28</f>
        <v>98036118.420000017</v>
      </c>
      <c r="D28" s="84">
        <f>'[3]12.2'!D28</f>
        <v>232925989.76999998</v>
      </c>
      <c r="E28" s="31">
        <f t="shared" si="1"/>
        <v>330962108.19</v>
      </c>
      <c r="F28" s="84">
        <f>'[3]12.2'!F28</f>
        <v>331057645</v>
      </c>
      <c r="G28" s="80">
        <f t="shared" si="0"/>
        <v>-95536.810000002384</v>
      </c>
      <c r="I28" s="165"/>
      <c r="K28" s="2"/>
      <c r="L28" s="20"/>
    </row>
    <row r="29" spans="1:12" x14ac:dyDescent="0.2">
      <c r="A29" s="50" t="str">
        <f t="shared" si="2"/>
        <v>2009</v>
      </c>
      <c r="C29" s="84">
        <f>'[3]12.2'!C29</f>
        <v>111269572.63</v>
      </c>
      <c r="D29" s="84">
        <f>'[3]12.2'!D29</f>
        <v>269535059.02999997</v>
      </c>
      <c r="E29" s="31">
        <f t="shared" si="1"/>
        <v>380804631.65999997</v>
      </c>
      <c r="F29" s="84">
        <f>'[3]12.2'!F29</f>
        <v>382342402</v>
      </c>
      <c r="G29" s="80">
        <f t="shared" si="0"/>
        <v>-1537770.3400000334</v>
      </c>
      <c r="K29" s="2"/>
      <c r="L29" s="20"/>
    </row>
    <row r="30" spans="1:12" x14ac:dyDescent="0.2">
      <c r="A30" s="50" t="str">
        <f t="shared" si="2"/>
        <v>2010</v>
      </c>
      <c r="B30" s="25"/>
      <c r="C30" s="84">
        <f>'[3]12.2'!C30</f>
        <v>102174679.52999991</v>
      </c>
      <c r="D30" s="84">
        <f>'[3]12.2'!D30</f>
        <v>278116922.00999999</v>
      </c>
      <c r="E30" s="31">
        <f t="shared" si="1"/>
        <v>380291601.5399999</v>
      </c>
      <c r="F30" s="84">
        <f>'[3]12.2'!F30</f>
        <v>385549582</v>
      </c>
      <c r="G30" s="80">
        <f t="shared" si="0"/>
        <v>-5257980.4600000978</v>
      </c>
      <c r="K30" s="2"/>
      <c r="L30" s="20"/>
    </row>
    <row r="31" spans="1:12" x14ac:dyDescent="0.2">
      <c r="A31" s="50" t="str">
        <f t="shared" ref="A31:A37" si="3">TEXT(A30+1,"#")</f>
        <v>2011</v>
      </c>
      <c r="B31" s="25"/>
      <c r="C31" s="84">
        <f>'[3]12.2'!C31</f>
        <v>100017021</v>
      </c>
      <c r="D31" s="84">
        <f>'[3]12.2'!D31</f>
        <v>307494236.20000005</v>
      </c>
      <c r="E31" s="31">
        <f t="shared" ref="E31:E37" si="4">SUM(C31:D31)</f>
        <v>407511257.20000005</v>
      </c>
      <c r="F31" s="84">
        <f>'[3]12.2'!F31</f>
        <v>403748164</v>
      </c>
      <c r="G31" s="80">
        <f t="shared" ref="G31:G37" si="5">E31-F31</f>
        <v>3763093.2000000477</v>
      </c>
      <c r="I31" s="165"/>
      <c r="K31" s="2"/>
      <c r="L31" s="20"/>
    </row>
    <row r="32" spans="1:12" x14ac:dyDescent="0.2">
      <c r="A32" s="50" t="str">
        <f t="shared" si="3"/>
        <v>2012</v>
      </c>
      <c r="B32" s="25"/>
      <c r="C32" s="84">
        <f>'[3]12.2'!C32</f>
        <v>110524396.51999998</v>
      </c>
      <c r="D32" s="84">
        <f>'[3]12.2'!D32</f>
        <v>335795725.19999981</v>
      </c>
      <c r="E32" s="31">
        <f>SUM(C32:D32)</f>
        <v>446320121.71999979</v>
      </c>
      <c r="F32" s="84">
        <f>'[3]12.2'!F32</f>
        <v>443479701</v>
      </c>
      <c r="G32" s="80">
        <f t="shared" si="5"/>
        <v>2840420.7199997902</v>
      </c>
      <c r="I32" s="81"/>
      <c r="K32" s="2"/>
      <c r="L32" s="20"/>
    </row>
    <row r="33" spans="1:12" x14ac:dyDescent="0.2">
      <c r="A33" s="176" t="str">
        <f t="shared" si="3"/>
        <v>2013</v>
      </c>
      <c r="B33" s="206"/>
      <c r="C33" s="84">
        <f>'[3]12.2'!C33</f>
        <v>112904624</v>
      </c>
      <c r="D33" s="84">
        <f>'[3]12.2'!D33</f>
        <v>360838080.7099998</v>
      </c>
      <c r="E33" s="207">
        <f t="shared" si="4"/>
        <v>473742704.7099998</v>
      </c>
      <c r="F33" s="84">
        <f>'[3]12.2'!F33</f>
        <v>472739474</v>
      </c>
      <c r="G33" s="208">
        <f>E33-F33</f>
        <v>1003230.7099997997</v>
      </c>
      <c r="K33" s="2"/>
      <c r="L33" s="20"/>
    </row>
    <row r="34" spans="1:12" x14ac:dyDescent="0.2">
      <c r="A34" s="50" t="str">
        <f t="shared" si="3"/>
        <v>2014</v>
      </c>
      <c r="B34" s="51"/>
      <c r="C34" s="84">
        <f>'[3]12.2'!C34</f>
        <v>104642688</v>
      </c>
      <c r="D34" s="84">
        <f>'[3]12.2'!D34</f>
        <v>389333918.13999987</v>
      </c>
      <c r="E34" s="128">
        <f t="shared" si="4"/>
        <v>493976606.13999987</v>
      </c>
      <c r="F34" s="84">
        <f>'[3]12.2'!F34</f>
        <v>494036010</v>
      </c>
      <c r="G34" s="165">
        <f t="shared" si="5"/>
        <v>-59403.860000133514</v>
      </c>
      <c r="K34" s="2"/>
      <c r="L34" s="20"/>
    </row>
    <row r="35" spans="1:12" x14ac:dyDescent="0.2">
      <c r="A35" s="50" t="str">
        <f t="shared" si="3"/>
        <v>2015</v>
      </c>
      <c r="B35" s="51"/>
      <c r="C35" s="84">
        <f>'[3]12.2'!C35</f>
        <v>98715934</v>
      </c>
      <c r="D35" s="84">
        <f>'[3]12.2'!D35</f>
        <v>407969846.0800004</v>
      </c>
      <c r="E35" s="128">
        <f t="shared" si="4"/>
        <v>506685780.0800004</v>
      </c>
      <c r="F35" s="84">
        <f>'[3]12.2'!F35</f>
        <v>503824316</v>
      </c>
      <c r="G35" s="165">
        <f t="shared" si="5"/>
        <v>2861464.0800004005</v>
      </c>
      <c r="I35" s="80"/>
      <c r="K35" s="2"/>
      <c r="L35" s="20"/>
    </row>
    <row r="36" spans="1:12" x14ac:dyDescent="0.2">
      <c r="A36" s="50" t="str">
        <f t="shared" si="3"/>
        <v>2016</v>
      </c>
      <c r="B36" s="51"/>
      <c r="C36" s="106">
        <f>'[3]12.2'!C36</f>
        <v>88278690</v>
      </c>
      <c r="D36" s="106">
        <f>'[3]12.2'!D36</f>
        <v>399074847</v>
      </c>
      <c r="E36" s="128">
        <f t="shared" si="4"/>
        <v>487353537</v>
      </c>
      <c r="F36" s="106">
        <f>'[3]12.2'!F36</f>
        <v>487353537</v>
      </c>
      <c r="G36" s="165">
        <f t="shared" si="5"/>
        <v>0</v>
      </c>
      <c r="H36" s="50"/>
      <c r="I36" s="80"/>
      <c r="K36" s="2"/>
      <c r="L36" s="20"/>
    </row>
    <row r="37" spans="1:12" x14ac:dyDescent="0.2">
      <c r="A37" s="50" t="str">
        <f t="shared" si="3"/>
        <v>2017</v>
      </c>
      <c r="B37" s="51"/>
      <c r="C37" s="106">
        <f>'[3]12.2'!C37</f>
        <v>70749081</v>
      </c>
      <c r="D37" s="106">
        <f>'[3]12.2'!D37</f>
        <v>352368052</v>
      </c>
      <c r="E37" s="128">
        <f t="shared" si="4"/>
        <v>423117133</v>
      </c>
      <c r="F37" s="106">
        <f>'[3]12.2'!F37</f>
        <v>423074138</v>
      </c>
      <c r="G37" s="165">
        <f t="shared" si="5"/>
        <v>42995</v>
      </c>
      <c r="H37" s="50"/>
      <c r="K37" s="2"/>
      <c r="L37" s="20"/>
    </row>
    <row r="38" spans="1:12" x14ac:dyDescent="0.2">
      <c r="A38" s="9">
        <v>2018</v>
      </c>
      <c r="B38" s="26"/>
      <c r="C38" s="85">
        <f>'[3]12.2'!C38</f>
        <v>65696833</v>
      </c>
      <c r="D38" s="85">
        <f>'[3]12.2'!D38</f>
        <v>331676957</v>
      </c>
      <c r="E38" s="32">
        <f>SUM(C38:D38)</f>
        <v>397373790</v>
      </c>
      <c r="F38" s="85">
        <f>'[3]12.2'!F38</f>
        <v>395551679</v>
      </c>
      <c r="G38" s="187">
        <f>E38-F38</f>
        <v>1822111</v>
      </c>
      <c r="K38" s="2"/>
    </row>
    <row r="39" spans="1:12" x14ac:dyDescent="0.2">
      <c r="K39" s="2"/>
    </row>
    <row r="40" spans="1:12" x14ac:dyDescent="0.2">
      <c r="C40" s="19"/>
      <c r="D40" s="84"/>
      <c r="E40" s="12"/>
      <c r="F40" s="19"/>
      <c r="G40" s="19"/>
      <c r="I40" s="50"/>
      <c r="K40" s="2"/>
    </row>
    <row r="41" spans="1:12" x14ac:dyDescent="0.2">
      <c r="A41" t="s">
        <v>9</v>
      </c>
      <c r="C41" s="80">
        <f>SUM(C14:C38)</f>
        <v>1495338091.1499999</v>
      </c>
      <c r="D41" s="80">
        <f>SUM(D14:D38)</f>
        <v>4451457065.9099998</v>
      </c>
      <c r="E41" s="80">
        <f>SUM(E14:E38)</f>
        <v>5946795157.0599995</v>
      </c>
      <c r="F41" s="80">
        <f>SUM(F14:F38)</f>
        <v>5945382844</v>
      </c>
      <c r="G41" s="80">
        <f>SUM(G14:G38)</f>
        <v>1412313.059999764</v>
      </c>
      <c r="K41" s="2"/>
    </row>
    <row r="42" spans="1:12" ht="12" thickBot="1" x14ac:dyDescent="0.25">
      <c r="A42" s="6"/>
      <c r="B42" s="6"/>
      <c r="C42" s="6"/>
      <c r="D42" s="6"/>
      <c r="E42" s="6"/>
      <c r="F42" s="6"/>
      <c r="G42" s="6"/>
      <c r="K42" s="2"/>
    </row>
    <row r="43" spans="1:12" ht="12" thickTop="1" x14ac:dyDescent="0.2">
      <c r="K43" s="2"/>
      <c r="L43" s="99"/>
    </row>
    <row r="44" spans="1:12" x14ac:dyDescent="0.2">
      <c r="A44" t="s">
        <v>18</v>
      </c>
      <c r="F44" s="45"/>
      <c r="K44" s="2"/>
    </row>
    <row r="45" spans="1:12" x14ac:dyDescent="0.2">
      <c r="B45" s="22" t="str">
        <f>C12&amp;", "&amp;D12&amp;" Provided by TWIA, as of "&amp;TEXT($L$43,"m/d/yyyy")</f>
        <v>(2), (3) Provided by TWIA, as of 1/0/1900</v>
      </c>
      <c r="K45" s="2"/>
    </row>
    <row r="46" spans="1:12" x14ac:dyDescent="0.2">
      <c r="B46" s="22" t="str">
        <f>E12&amp;" = "&amp;C12&amp;" + "&amp;D12</f>
        <v>(4) = (2) + (3)</v>
      </c>
      <c r="K46" s="2"/>
    </row>
    <row r="47" spans="1:12" x14ac:dyDescent="0.2">
      <c r="B47" s="22" t="str">
        <f>F12&amp;" Based on TWIA Annual Statements"</f>
        <v>(5) Based on TWIA Annual Statements</v>
      </c>
      <c r="C47" s="62"/>
      <c r="D47" s="62"/>
      <c r="E47" s="62"/>
      <c r="F47" s="62"/>
      <c r="G47" s="62"/>
      <c r="K47" s="2"/>
    </row>
    <row r="48" spans="1:12" x14ac:dyDescent="0.2">
      <c r="B48" s="22" t="str">
        <f>G12&amp;" = "&amp;E12&amp;" - "&amp;F12</f>
        <v>(6) = (4) - (5)</v>
      </c>
      <c r="H48" s="45"/>
      <c r="I48" s="45"/>
      <c r="K48" s="2"/>
    </row>
    <row r="49" spans="1:11" x14ac:dyDescent="0.2">
      <c r="B49" s="22"/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s="62" customFormat="1" x14ac:dyDescent="0.2">
      <c r="A54"/>
      <c r="B54"/>
      <c r="C54"/>
      <c r="D54"/>
      <c r="E54"/>
      <c r="F54"/>
      <c r="G54"/>
      <c r="H54"/>
      <c r="I54"/>
      <c r="K54" s="2"/>
    </row>
    <row r="55" spans="1:11" s="62" customFormat="1" x14ac:dyDescent="0.2">
      <c r="A55"/>
      <c r="B55"/>
      <c r="C55"/>
      <c r="D55"/>
      <c r="E55"/>
      <c r="F55"/>
      <c r="G55"/>
      <c r="K55" s="2"/>
    </row>
    <row r="56" spans="1:11" s="62" customFormat="1" x14ac:dyDescent="0.2">
      <c r="K56" s="2"/>
    </row>
    <row r="57" spans="1:11" s="62" customFormat="1" x14ac:dyDescent="0.2">
      <c r="C57" s="22"/>
      <c r="K57" s="2"/>
    </row>
    <row r="58" spans="1:11" s="62" customFormat="1" x14ac:dyDescent="0.2">
      <c r="H58" s="45"/>
      <c r="I58" s="45"/>
      <c r="K58" s="2"/>
    </row>
    <row r="59" spans="1:11" s="62" customFormat="1" x14ac:dyDescent="0.2">
      <c r="A59" s="45"/>
      <c r="B59" s="45"/>
      <c r="C59" s="45"/>
      <c r="D59" s="45"/>
      <c r="E59" s="45"/>
      <c r="F59" s="45"/>
      <c r="G59" s="45"/>
      <c r="K59" s="2"/>
    </row>
    <row r="60" spans="1:11" s="62" customFormat="1" x14ac:dyDescent="0.2">
      <c r="H60" s="33"/>
      <c r="I60" s="33"/>
      <c r="K60" s="2"/>
    </row>
    <row r="61" spans="1:11" s="62" customFormat="1" x14ac:dyDescent="0.2">
      <c r="A61" s="68"/>
      <c r="C61" s="38"/>
      <c r="D61" s="38"/>
      <c r="E61" s="38"/>
      <c r="F61" s="38"/>
      <c r="G61" s="33"/>
      <c r="H61" s="33"/>
      <c r="I61" s="33"/>
      <c r="K61" s="2"/>
    </row>
    <row r="62" spans="1:11" s="62" customFormat="1" x14ac:dyDescent="0.2">
      <c r="A62" s="68"/>
      <c r="C62" s="38"/>
      <c r="D62" s="38"/>
      <c r="E62" s="38"/>
      <c r="F62" s="38"/>
      <c r="G62" s="33"/>
      <c r="H62" s="33"/>
      <c r="I62" s="33"/>
      <c r="K62" s="2"/>
    </row>
    <row r="63" spans="1:11" s="62" customFormat="1" x14ac:dyDescent="0.2">
      <c r="A63" s="68"/>
      <c r="C63" s="38"/>
      <c r="D63" s="38"/>
      <c r="E63" s="38"/>
      <c r="F63" s="38"/>
      <c r="G63" s="33"/>
      <c r="H63" s="33"/>
      <c r="I63" s="33"/>
      <c r="K63" s="2"/>
    </row>
    <row r="64" spans="1:11" s="62" customFormat="1" x14ac:dyDescent="0.2">
      <c r="A64" s="68"/>
      <c r="C64" s="38"/>
      <c r="D64" s="38"/>
      <c r="E64" s="38"/>
      <c r="F64" s="38"/>
      <c r="G64" s="33"/>
      <c r="H64" s="33"/>
      <c r="I64" s="33"/>
      <c r="K64" s="2"/>
    </row>
    <row r="65" spans="1:11" s="62" customFormat="1" x14ac:dyDescent="0.2">
      <c r="A65" s="68"/>
      <c r="C65" s="38"/>
      <c r="D65" s="38"/>
      <c r="E65" s="38"/>
      <c r="F65" s="38"/>
      <c r="G65" s="33"/>
      <c r="H65" s="33"/>
      <c r="I65" s="33"/>
      <c r="K65" s="2"/>
    </row>
    <row r="66" spans="1:11" s="62" customFormat="1" x14ac:dyDescent="0.2">
      <c r="A66" s="68"/>
      <c r="C66" s="38"/>
      <c r="D66" s="38"/>
      <c r="E66" s="38"/>
      <c r="F66" s="38"/>
      <c r="G66" s="33"/>
      <c r="H66" s="33"/>
      <c r="I66" s="33"/>
      <c r="K66" s="2"/>
    </row>
    <row r="67" spans="1:11" x14ac:dyDescent="0.2">
      <c r="A67" s="68"/>
      <c r="B67" s="62"/>
      <c r="C67" s="38"/>
      <c r="D67" s="38"/>
      <c r="E67" s="38"/>
      <c r="F67" s="38"/>
      <c r="G67" s="33"/>
      <c r="H67" s="29"/>
      <c r="I67" s="29"/>
      <c r="K67" s="2"/>
    </row>
    <row r="68" spans="1:11" x14ac:dyDescent="0.2">
      <c r="A68" s="68"/>
      <c r="B68" s="62"/>
      <c r="C68" s="29"/>
      <c r="D68" s="29"/>
      <c r="E68" s="29"/>
      <c r="F68" s="29"/>
      <c r="G68" s="29"/>
      <c r="K68" s="2"/>
    </row>
    <row r="69" spans="1:11" x14ac:dyDescent="0.2">
      <c r="B69" s="25"/>
      <c r="C69" s="63"/>
      <c r="D69" s="63"/>
      <c r="E69" s="63"/>
      <c r="F69" s="63"/>
      <c r="G69" s="23"/>
      <c r="K69" s="2"/>
    </row>
    <row r="70" spans="1:11" ht="12" thickBot="1" x14ac:dyDescent="0.25">
      <c r="B70" s="25"/>
      <c r="C70" s="63"/>
      <c r="D70" s="63"/>
      <c r="E70" s="63"/>
      <c r="F70" s="63"/>
      <c r="G70" s="23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  <row r="73" spans="1:11" x14ac:dyDescent="0.2">
      <c r="B73" s="25"/>
      <c r="C73" s="63"/>
      <c r="D73" s="63"/>
      <c r="E73" s="63"/>
      <c r="F73" s="63"/>
      <c r="G73" s="2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69"/>
  <sheetViews>
    <sheetView zoomScaleNormal="100" workbookViewId="0">
      <selection activeCell="G44" sqref="G44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47</v>
      </c>
      <c r="K2" s="2"/>
    </row>
    <row r="3" spans="1:12" x14ac:dyDescent="0.2">
      <c r="A3" s="8" t="str">
        <f>'1'!$A$3</f>
        <v>Rate Level Review</v>
      </c>
      <c r="B3" s="12"/>
      <c r="I3" s="50"/>
      <c r="J3" s="134"/>
      <c r="K3" s="2"/>
    </row>
    <row r="4" spans="1:12" x14ac:dyDescent="0.2">
      <c r="A4" t="s">
        <v>336</v>
      </c>
      <c r="B4" s="12"/>
      <c r="I4" s="50"/>
      <c r="K4" s="2"/>
    </row>
    <row r="5" spans="1:12" x14ac:dyDescent="0.2">
      <c r="A5" t="s">
        <v>46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2" thickTop="1" x14ac:dyDescent="0.2">
      <c r="I8" s="50"/>
      <c r="K8" s="2"/>
    </row>
    <row r="9" spans="1:12" x14ac:dyDescent="0.2">
      <c r="A9" t="s">
        <v>34</v>
      </c>
      <c r="C9" s="22" t="s">
        <v>36</v>
      </c>
      <c r="E9" t="s">
        <v>39</v>
      </c>
      <c r="F9" t="s">
        <v>41</v>
      </c>
      <c r="G9" t="s">
        <v>45</v>
      </c>
      <c r="H9" t="s">
        <v>13</v>
      </c>
      <c r="I9" s="50"/>
      <c r="K9" s="2"/>
      <c r="L9" s="27"/>
    </row>
    <row r="10" spans="1:12" x14ac:dyDescent="0.2">
      <c r="A10" t="s">
        <v>35</v>
      </c>
      <c r="C10" t="s">
        <v>8</v>
      </c>
      <c r="D10" t="s">
        <v>37</v>
      </c>
      <c r="E10" t="s">
        <v>40</v>
      </c>
      <c r="F10" t="s">
        <v>8</v>
      </c>
      <c r="G10" t="s">
        <v>43</v>
      </c>
      <c r="H10" t="s">
        <v>8</v>
      </c>
      <c r="I10" s="50"/>
      <c r="K10" s="2"/>
      <c r="L10" t="s">
        <v>220</v>
      </c>
    </row>
    <row r="11" spans="1:12" x14ac:dyDescent="0.2">
      <c r="A11" s="9" t="str">
        <f>TEXT($L$11,"m/d/xx")</f>
        <v>9/30/xx</v>
      </c>
      <c r="B11" s="9"/>
      <c r="C11" s="9" t="s">
        <v>42</v>
      </c>
      <c r="D11" s="9" t="s">
        <v>38</v>
      </c>
      <c r="E11" s="9" t="s">
        <v>38</v>
      </c>
      <c r="F11" s="9" t="s">
        <v>11</v>
      </c>
      <c r="G11" s="9" t="s">
        <v>44</v>
      </c>
      <c r="H11" s="9" t="s">
        <v>30</v>
      </c>
      <c r="I11" s="50"/>
      <c r="K11" s="2"/>
      <c r="L11" s="88">
        <f>'2.4a'!L$22</f>
        <v>43373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20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2009</v>
      </c>
      <c r="B14" s="25"/>
      <c r="C14" s="33">
        <f>'2.3b'!E14</f>
        <v>536746</v>
      </c>
      <c r="D14" s="36">
        <f>'4.1'!$E$60</f>
        <v>0.26800000000000002</v>
      </c>
      <c r="E14" s="35">
        <f>'2.2a'!E14</f>
        <v>1.161</v>
      </c>
      <c r="F14" s="19">
        <f t="shared" ref="F14:F23" si="2">ROUND(C14*(1+D14)*E14,0)</f>
        <v>790170</v>
      </c>
      <c r="G14" s="33">
        <f>'10.1b'!E14</f>
        <v>65908745</v>
      </c>
      <c r="H14" s="20">
        <f t="shared" ref="H14:H23" si="3">ROUND(F14/G14,3)</f>
        <v>1.2E-2</v>
      </c>
      <c r="I14" s="172"/>
      <c r="K14" s="2"/>
    </row>
    <row r="15" spans="1:12" x14ac:dyDescent="0.2">
      <c r="A15" t="str">
        <f t="shared" si="1"/>
        <v>2010</v>
      </c>
      <c r="B15" s="25"/>
      <c r="C15" s="33">
        <f>'2.3b'!E15</f>
        <v>3445556</v>
      </c>
      <c r="D15" s="36">
        <f t="shared" ref="D15:D23" si="4">D$14</f>
        <v>0.26800000000000002</v>
      </c>
      <c r="E15" s="35">
        <f>'2.2a'!E15</f>
        <v>1.161</v>
      </c>
      <c r="F15" s="19">
        <f t="shared" si="2"/>
        <v>5072368</v>
      </c>
      <c r="G15" s="33">
        <f>'10.1b'!E15</f>
        <v>69035414</v>
      </c>
      <c r="H15" s="20">
        <f t="shared" si="3"/>
        <v>7.2999999999999995E-2</v>
      </c>
      <c r="I15" s="172"/>
      <c r="K15" s="2"/>
    </row>
    <row r="16" spans="1:12" x14ac:dyDescent="0.2">
      <c r="A16" t="str">
        <f t="shared" si="1"/>
        <v>2011</v>
      </c>
      <c r="B16" s="25"/>
      <c r="C16" s="33">
        <f>'2.3b'!E16</f>
        <v>19199535</v>
      </c>
      <c r="D16" s="36">
        <f t="shared" si="4"/>
        <v>0.26800000000000002</v>
      </c>
      <c r="E16" s="35">
        <f>'2.2a'!E16</f>
        <v>1.153</v>
      </c>
      <c r="F16" s="19">
        <f t="shared" si="2"/>
        <v>28069797</v>
      </c>
      <c r="G16" s="33">
        <f>'10.1b'!E16</f>
        <v>69387124</v>
      </c>
      <c r="H16" s="20">
        <f t="shared" si="3"/>
        <v>0.40500000000000003</v>
      </c>
      <c r="I16" s="172"/>
      <c r="K16" s="2"/>
    </row>
    <row r="17" spans="1:11" x14ac:dyDescent="0.2">
      <c r="A17" t="str">
        <f t="shared" si="1"/>
        <v>2012</v>
      </c>
      <c r="B17" s="25"/>
      <c r="C17" s="33">
        <f>'2.3b'!E17</f>
        <v>20626638</v>
      </c>
      <c r="D17" s="36">
        <f t="shared" si="4"/>
        <v>0.26800000000000002</v>
      </c>
      <c r="E17" s="35">
        <f>'2.2a'!E17</f>
        <v>1.1220000000000001</v>
      </c>
      <c r="F17" s="19">
        <f t="shared" si="2"/>
        <v>29345435</v>
      </c>
      <c r="G17" s="33">
        <f>'10.1b'!E17</f>
        <v>70391274</v>
      </c>
      <c r="H17" s="20">
        <f t="shared" si="3"/>
        <v>0.41699999999999998</v>
      </c>
      <c r="I17" s="172"/>
      <c r="K17" s="2"/>
    </row>
    <row r="18" spans="1:11" x14ac:dyDescent="0.2">
      <c r="A18" t="str">
        <f t="shared" si="1"/>
        <v>2013</v>
      </c>
      <c r="B18" s="25"/>
      <c r="C18" s="33">
        <f>'2.3b'!E18</f>
        <v>6181885</v>
      </c>
      <c r="D18" s="36">
        <f t="shared" si="4"/>
        <v>0.26800000000000002</v>
      </c>
      <c r="E18" s="35">
        <f>'2.2a'!E18</f>
        <v>1.1140000000000001</v>
      </c>
      <c r="F18" s="19">
        <f t="shared" si="2"/>
        <v>8732234</v>
      </c>
      <c r="G18" s="33">
        <f>'10.1b'!E18</f>
        <v>71513690</v>
      </c>
      <c r="H18" s="20">
        <f t="shared" si="3"/>
        <v>0.122</v>
      </c>
      <c r="I18" s="172"/>
      <c r="K18" s="2"/>
    </row>
    <row r="19" spans="1:11" x14ac:dyDescent="0.2">
      <c r="A19" t="str">
        <f t="shared" si="1"/>
        <v>2014</v>
      </c>
      <c r="B19" s="25"/>
      <c r="C19" s="33">
        <f>'2.3b'!E19</f>
        <v>1625814</v>
      </c>
      <c r="D19" s="36">
        <f t="shared" si="4"/>
        <v>0.26800000000000002</v>
      </c>
      <c r="E19" s="35">
        <f>'2.2a'!E19</f>
        <v>1.0920000000000001</v>
      </c>
      <c r="F19" s="19">
        <f t="shared" si="2"/>
        <v>2251193</v>
      </c>
      <c r="G19" s="33">
        <f>'10.1b'!E19</f>
        <v>74528934</v>
      </c>
      <c r="H19" s="20">
        <f t="shared" si="3"/>
        <v>0.03</v>
      </c>
      <c r="I19" s="172"/>
      <c r="K19" s="2"/>
    </row>
    <row r="20" spans="1:11" x14ac:dyDescent="0.2">
      <c r="A20" t="str">
        <f t="shared" si="1"/>
        <v>2015</v>
      </c>
      <c r="B20" s="25"/>
      <c r="C20" s="33">
        <f>'2.3b'!E20</f>
        <v>9564385</v>
      </c>
      <c r="D20" s="36">
        <f t="shared" si="4"/>
        <v>0.26800000000000002</v>
      </c>
      <c r="E20" s="35">
        <f>'2.2a'!E20</f>
        <v>1.0780000000000001</v>
      </c>
      <c r="F20" s="19">
        <f t="shared" si="2"/>
        <v>13073596</v>
      </c>
      <c r="G20" s="33">
        <f>'10.1b'!E20</f>
        <v>77646885</v>
      </c>
      <c r="H20" s="20">
        <f t="shared" si="3"/>
        <v>0.16800000000000001</v>
      </c>
      <c r="I20" s="172"/>
      <c r="K20" s="2"/>
    </row>
    <row r="21" spans="1:11" x14ac:dyDescent="0.2">
      <c r="A21" t="str">
        <f t="shared" si="1"/>
        <v>2016</v>
      </c>
      <c r="B21" s="25"/>
      <c r="C21" s="33">
        <f>'2.3b'!E21</f>
        <v>9892632</v>
      </c>
      <c r="D21" s="36">
        <f t="shared" si="4"/>
        <v>0.26800000000000002</v>
      </c>
      <c r="E21" s="35">
        <f>'2.2a'!E21</f>
        <v>1.083</v>
      </c>
      <c r="F21" s="19">
        <f>ROUND(C21*(1+D21)*E21,0)</f>
        <v>13584998</v>
      </c>
      <c r="G21" s="33">
        <f>'10.1b'!E21</f>
        <v>76688491</v>
      </c>
      <c r="H21" s="20">
        <f t="shared" si="3"/>
        <v>0.17699999999999999</v>
      </c>
      <c r="I21" s="172"/>
      <c r="K21" s="2"/>
    </row>
    <row r="22" spans="1:11" x14ac:dyDescent="0.2">
      <c r="A22" t="str">
        <f t="shared" si="1"/>
        <v>2017</v>
      </c>
      <c r="B22" s="51"/>
      <c r="C22" s="49">
        <f>'2.3b'!E22</f>
        <v>8292166</v>
      </c>
      <c r="D22" s="78">
        <f t="shared" si="4"/>
        <v>0.26800000000000002</v>
      </c>
      <c r="E22" s="107">
        <f>'2.2a'!E22</f>
        <v>1.0640000000000001</v>
      </c>
      <c r="F22" s="60">
        <f t="shared" si="2"/>
        <v>11187392</v>
      </c>
      <c r="G22" s="49">
        <f>'10.1b'!E22</f>
        <v>72582595</v>
      </c>
      <c r="H22" s="172">
        <f t="shared" si="3"/>
        <v>0.154</v>
      </c>
      <c r="I22" s="172"/>
      <c r="K22" s="2"/>
    </row>
    <row r="23" spans="1:11" x14ac:dyDescent="0.2">
      <c r="A23" t="str">
        <f>TEXT(YEAR($L$11),"#")</f>
        <v>2018</v>
      </c>
      <c r="B23" s="51"/>
      <c r="C23" s="49">
        <f>'2.3b'!E23</f>
        <v>1223786</v>
      </c>
      <c r="D23" s="78">
        <f t="shared" si="4"/>
        <v>0.26800000000000002</v>
      </c>
      <c r="E23" s="107">
        <f>'2.2a'!E23</f>
        <v>1.034</v>
      </c>
      <c r="F23" s="60">
        <f t="shared" si="2"/>
        <v>1604521</v>
      </c>
      <c r="G23" s="49">
        <f>'10.1b'!E23</f>
        <v>65531943</v>
      </c>
      <c r="H23" s="172">
        <f t="shared" si="3"/>
        <v>2.4E-2</v>
      </c>
      <c r="I23" s="172"/>
      <c r="K23" s="2"/>
    </row>
    <row r="24" spans="1:11" x14ac:dyDescent="0.2">
      <c r="A24" s="9"/>
      <c r="B24" s="26"/>
      <c r="C24" s="34"/>
      <c r="D24" s="37"/>
      <c r="E24" s="69"/>
      <c r="F24" s="28"/>
      <c r="G24" s="34"/>
      <c r="H24" s="21"/>
      <c r="I24" s="50"/>
      <c r="K24" s="2"/>
    </row>
    <row r="25" spans="1:11" x14ac:dyDescent="0.2">
      <c r="I25" s="172"/>
      <c r="J25" s="20"/>
      <c r="K25" s="2"/>
    </row>
    <row r="26" spans="1:11" x14ac:dyDescent="0.2">
      <c r="A26" t="s">
        <v>9</v>
      </c>
      <c r="C26" s="19">
        <f>SUM(C14:C24)</f>
        <v>80589143</v>
      </c>
      <c r="F26" s="19">
        <f>SUM(F14:F24)</f>
        <v>113711704</v>
      </c>
      <c r="G26" s="19">
        <f>SUM(G14:G24)</f>
        <v>713215095</v>
      </c>
      <c r="H26" s="20">
        <f>ROUND(F26/G26,3)</f>
        <v>0.159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18</v>
      </c>
      <c r="I29" s="50"/>
      <c r="K29" s="2"/>
    </row>
    <row r="30" spans="1:11" x14ac:dyDescent="0.2">
      <c r="B30" s="22" t="str">
        <f>C12&amp;" "&amp;'2.3b'!$J$1&amp;", "&amp;'2.3b'!$J$2</f>
        <v>(2) Exhibit 2, Sheet 3b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"&amp;'10.1b'!$J$1&amp;", "&amp;'10.1b'!$J$2</f>
        <v>(6) Exhibit 10, Sheet 1b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62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69"/>
  <sheetViews>
    <sheetView zoomScaleNormal="100" workbookViewId="0">
      <selection activeCell="F38" sqref="F38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49</v>
      </c>
      <c r="K2" s="2"/>
    </row>
    <row r="3" spans="1:12" x14ac:dyDescent="0.2">
      <c r="A3" s="8" t="str">
        <f>'1'!$A$3</f>
        <v>Rate Level Review</v>
      </c>
      <c r="B3" s="12"/>
      <c r="I3" s="50"/>
      <c r="J3" s="134"/>
      <c r="K3" s="2"/>
    </row>
    <row r="4" spans="1:12" x14ac:dyDescent="0.2">
      <c r="A4" t="s">
        <v>336</v>
      </c>
      <c r="B4" s="12"/>
      <c r="I4" s="50"/>
      <c r="K4" s="2"/>
    </row>
    <row r="5" spans="1:12" x14ac:dyDescent="0.2">
      <c r="A5" t="s">
        <v>48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2" thickTop="1" x14ac:dyDescent="0.2">
      <c r="I8" s="50"/>
      <c r="K8" s="2"/>
    </row>
    <row r="9" spans="1:12" x14ac:dyDescent="0.2">
      <c r="A9" t="s">
        <v>34</v>
      </c>
      <c r="C9" s="22" t="s">
        <v>36</v>
      </c>
      <c r="E9" t="s">
        <v>39</v>
      </c>
      <c r="F9" t="s">
        <v>41</v>
      </c>
      <c r="G9" t="s">
        <v>45</v>
      </c>
      <c r="H9" t="s">
        <v>13</v>
      </c>
      <c r="I9" s="50"/>
      <c r="K9" s="2"/>
      <c r="L9" s="27"/>
    </row>
    <row r="10" spans="1:12" x14ac:dyDescent="0.2">
      <c r="A10" t="s">
        <v>35</v>
      </c>
      <c r="C10" t="s">
        <v>8</v>
      </c>
      <c r="D10" t="s">
        <v>37</v>
      </c>
      <c r="E10" t="s">
        <v>40</v>
      </c>
      <c r="F10" t="s">
        <v>8</v>
      </c>
      <c r="G10" t="s">
        <v>43</v>
      </c>
      <c r="H10" t="s">
        <v>8</v>
      </c>
      <c r="I10" s="50"/>
      <c r="K10" s="2"/>
      <c r="L10" t="s">
        <v>220</v>
      </c>
    </row>
    <row r="11" spans="1:12" x14ac:dyDescent="0.2">
      <c r="A11" s="9" t="str">
        <f>TEXT($L$11,"m/d/xx")</f>
        <v>9/30/xx</v>
      </c>
      <c r="B11" s="9"/>
      <c r="C11" s="9" t="s">
        <v>42</v>
      </c>
      <c r="D11" s="9" t="s">
        <v>38</v>
      </c>
      <c r="E11" s="9" t="s">
        <v>38</v>
      </c>
      <c r="F11" s="9" t="s">
        <v>11</v>
      </c>
      <c r="G11" s="9" t="s">
        <v>44</v>
      </c>
      <c r="H11" s="9" t="s">
        <v>30</v>
      </c>
      <c r="I11" s="50"/>
      <c r="K11" s="2"/>
      <c r="L11" s="88">
        <f>'2.4a'!L$22</f>
        <v>43373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20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2009</v>
      </c>
      <c r="B14" s="25"/>
      <c r="C14" s="33">
        <f>'2.3c'!E14</f>
        <v>1977943</v>
      </c>
      <c r="D14" s="36">
        <f>'4.1'!$E$60</f>
        <v>0.26800000000000002</v>
      </c>
      <c r="E14" s="35">
        <f>'2.2a'!E14</f>
        <v>1.161</v>
      </c>
      <c r="F14" s="19">
        <f t="shared" ref="F14:F22" si="2">ROUND(C14*(1+D14)*E14,0)</f>
        <v>2911825</v>
      </c>
      <c r="G14" s="33">
        <f>'10.1c'!E14</f>
        <v>174677101</v>
      </c>
      <c r="H14" s="20">
        <f>ROUND(F14/G14,3)</f>
        <v>1.7000000000000001E-2</v>
      </c>
      <c r="I14" s="172"/>
      <c r="K14" s="2"/>
    </row>
    <row r="15" spans="1:12" x14ac:dyDescent="0.2">
      <c r="A15" t="str">
        <f t="shared" si="1"/>
        <v>2010</v>
      </c>
      <c r="B15" s="25"/>
      <c r="C15" s="33">
        <f>'2.3c'!E15</f>
        <v>6663982</v>
      </c>
      <c r="D15" s="36">
        <f t="shared" ref="D15:D23" si="3">D$14</f>
        <v>0.26800000000000002</v>
      </c>
      <c r="E15" s="35">
        <f>'2.2a'!E15</f>
        <v>1.161</v>
      </c>
      <c r="F15" s="19">
        <f t="shared" si="2"/>
        <v>9810368</v>
      </c>
      <c r="G15" s="33">
        <f>'10.1c'!E15</f>
        <v>185336084</v>
      </c>
      <c r="H15" s="20">
        <f t="shared" ref="H15:H23" si="4">ROUND(F15/G15,3)</f>
        <v>5.2999999999999999E-2</v>
      </c>
      <c r="I15" s="172"/>
      <c r="K15" s="2"/>
    </row>
    <row r="16" spans="1:12" x14ac:dyDescent="0.2">
      <c r="A16" t="str">
        <f t="shared" si="1"/>
        <v>2011</v>
      </c>
      <c r="B16" s="25"/>
      <c r="C16" s="33">
        <f>'2.3c'!E16</f>
        <v>56124736</v>
      </c>
      <c r="D16" s="36">
        <f t="shared" si="3"/>
        <v>0.26800000000000002</v>
      </c>
      <c r="E16" s="35">
        <f>'2.2a'!E16</f>
        <v>1.153</v>
      </c>
      <c r="F16" s="19">
        <f t="shared" si="2"/>
        <v>82054589</v>
      </c>
      <c r="G16" s="33">
        <f>'10.1c'!E16</f>
        <v>193033699</v>
      </c>
      <c r="H16" s="20">
        <f t="shared" si="4"/>
        <v>0.42499999999999999</v>
      </c>
      <c r="I16" s="172"/>
      <c r="K16" s="2"/>
    </row>
    <row r="17" spans="1:11" x14ac:dyDescent="0.2">
      <c r="A17" t="str">
        <f t="shared" si="1"/>
        <v>2012</v>
      </c>
      <c r="B17" s="25"/>
      <c r="C17" s="33">
        <f>'2.3c'!E17</f>
        <v>18946421</v>
      </c>
      <c r="D17" s="36">
        <f t="shared" si="3"/>
        <v>0.26800000000000002</v>
      </c>
      <c r="E17" s="35">
        <f>'2.2a'!E17</f>
        <v>1.1220000000000001</v>
      </c>
      <c r="F17" s="19">
        <f t="shared" si="2"/>
        <v>26954997</v>
      </c>
      <c r="G17" s="33">
        <f>'10.1c'!E17</f>
        <v>209220809</v>
      </c>
      <c r="H17" s="20">
        <f t="shared" si="4"/>
        <v>0.129</v>
      </c>
      <c r="I17" s="172"/>
      <c r="K17" s="2"/>
    </row>
    <row r="18" spans="1:11" x14ac:dyDescent="0.2">
      <c r="A18" t="str">
        <f t="shared" si="1"/>
        <v>2013</v>
      </c>
      <c r="B18" s="25"/>
      <c r="C18" s="33">
        <f>'2.3c'!E18</f>
        <v>4833041</v>
      </c>
      <c r="D18" s="36">
        <f t="shared" si="3"/>
        <v>0.26800000000000002</v>
      </c>
      <c r="E18" s="35">
        <f>'2.2a'!E18</f>
        <v>1.1140000000000001</v>
      </c>
      <c r="F18" s="19">
        <f t="shared" si="2"/>
        <v>6826922</v>
      </c>
      <c r="G18" s="33">
        <f>'10.1c'!E18</f>
        <v>215695773</v>
      </c>
      <c r="H18" s="20">
        <f t="shared" si="4"/>
        <v>3.2000000000000001E-2</v>
      </c>
      <c r="I18" s="172"/>
      <c r="K18" s="2"/>
    </row>
    <row r="19" spans="1:11" x14ac:dyDescent="0.2">
      <c r="A19" t="str">
        <f t="shared" si="1"/>
        <v>2014</v>
      </c>
      <c r="B19" s="25"/>
      <c r="C19" s="33">
        <f>'2.3c'!E19</f>
        <v>2858809</v>
      </c>
      <c r="D19" s="36">
        <f t="shared" si="3"/>
        <v>0.26800000000000002</v>
      </c>
      <c r="E19" s="35">
        <f>'2.2a'!E19</f>
        <v>1.0920000000000001</v>
      </c>
      <c r="F19" s="19">
        <f t="shared" si="2"/>
        <v>3958467</v>
      </c>
      <c r="G19" s="33">
        <f>'10.1c'!E19</f>
        <v>222006785</v>
      </c>
      <c r="H19" s="20">
        <f t="shared" si="4"/>
        <v>1.7999999999999999E-2</v>
      </c>
      <c r="I19" s="172"/>
      <c r="K19" s="2"/>
    </row>
    <row r="20" spans="1:11" x14ac:dyDescent="0.2">
      <c r="A20" t="str">
        <f t="shared" si="1"/>
        <v>2015</v>
      </c>
      <c r="B20" s="25"/>
      <c r="C20" s="33">
        <f>'2.3c'!E20</f>
        <v>87817897</v>
      </c>
      <c r="D20" s="36">
        <f t="shared" si="3"/>
        <v>0.26800000000000002</v>
      </c>
      <c r="E20" s="35">
        <f>'2.2a'!E20</f>
        <v>1.0780000000000001</v>
      </c>
      <c r="F20" s="19">
        <f t="shared" si="2"/>
        <v>120038635</v>
      </c>
      <c r="G20" s="33">
        <f>'10.1c'!E20</f>
        <v>226666349</v>
      </c>
      <c r="H20" s="20">
        <f t="shared" si="4"/>
        <v>0.53</v>
      </c>
      <c r="I20" s="172"/>
      <c r="K20" s="2"/>
    </row>
    <row r="21" spans="1:11" x14ac:dyDescent="0.2">
      <c r="A21" t="str">
        <f t="shared" si="1"/>
        <v>2016</v>
      </c>
      <c r="B21" s="25"/>
      <c r="C21" s="33">
        <f>'2.3c'!E21</f>
        <v>12627373</v>
      </c>
      <c r="D21" s="36">
        <f t="shared" si="3"/>
        <v>0.26800000000000002</v>
      </c>
      <c r="E21" s="35">
        <f>'2.2a'!E21</f>
        <v>1.083</v>
      </c>
      <c r="F21" s="19">
        <f t="shared" si="2"/>
        <v>17340464</v>
      </c>
      <c r="G21" s="33">
        <f>'10.1c'!E21</f>
        <v>216365340</v>
      </c>
      <c r="H21" s="20">
        <f t="shared" si="4"/>
        <v>0.08</v>
      </c>
      <c r="I21" s="172"/>
      <c r="K21" s="2"/>
    </row>
    <row r="22" spans="1:11" x14ac:dyDescent="0.2">
      <c r="A22" t="str">
        <f t="shared" si="1"/>
        <v>2017</v>
      </c>
      <c r="B22" s="51"/>
      <c r="C22" s="49">
        <f>'2.3c'!E22</f>
        <v>23713471</v>
      </c>
      <c r="D22" s="78">
        <f t="shared" si="3"/>
        <v>0.26800000000000002</v>
      </c>
      <c r="E22" s="107">
        <f>'2.2a'!E22</f>
        <v>1.0640000000000001</v>
      </c>
      <c r="F22" s="60">
        <f t="shared" si="2"/>
        <v>31993077</v>
      </c>
      <c r="G22" s="49">
        <f>'10.1c'!E22</f>
        <v>197982407</v>
      </c>
      <c r="H22" s="172">
        <f t="shared" si="4"/>
        <v>0.16200000000000001</v>
      </c>
      <c r="I22" s="172"/>
      <c r="K22" s="2"/>
    </row>
    <row r="23" spans="1:11" x14ac:dyDescent="0.2">
      <c r="A23" t="str">
        <f>TEXT(YEAR($L$11),"#")</f>
        <v>2018</v>
      </c>
      <c r="B23" s="51"/>
      <c r="C23" s="49">
        <f>'2.3c'!E23</f>
        <v>7300788</v>
      </c>
      <c r="D23" s="78">
        <f t="shared" si="3"/>
        <v>0.26800000000000002</v>
      </c>
      <c r="E23" s="107">
        <f>'2.2a'!E23</f>
        <v>1.034</v>
      </c>
      <c r="F23" s="60">
        <f>ROUND(C23*(1+D23)*E23,0)</f>
        <v>9572151</v>
      </c>
      <c r="G23" s="49">
        <f>'10.1c'!E23</f>
        <v>171091403</v>
      </c>
      <c r="H23" s="172">
        <f t="shared" si="4"/>
        <v>5.6000000000000001E-2</v>
      </c>
      <c r="I23" s="172"/>
      <c r="K23" s="2"/>
    </row>
    <row r="24" spans="1:11" x14ac:dyDescent="0.2">
      <c r="A24" s="9"/>
      <c r="B24" s="26"/>
      <c r="C24" s="34"/>
      <c r="D24" s="37"/>
      <c r="E24" s="69"/>
      <c r="F24" s="28"/>
      <c r="G24" s="34"/>
      <c r="H24" s="21"/>
      <c r="I24" s="50"/>
      <c r="K24" s="2"/>
    </row>
    <row r="25" spans="1:11" x14ac:dyDescent="0.2">
      <c r="I25" s="172"/>
      <c r="J25" s="20"/>
      <c r="K25" s="2"/>
    </row>
    <row r="26" spans="1:11" x14ac:dyDescent="0.2">
      <c r="A26" t="s">
        <v>9</v>
      </c>
      <c r="C26" s="19">
        <f>SUM(C14:C24)</f>
        <v>222864461</v>
      </c>
      <c r="F26" s="19">
        <f>SUM(F14:F24)</f>
        <v>311461495</v>
      </c>
      <c r="G26" s="19">
        <f>SUM(G14:G24)</f>
        <v>2012075750</v>
      </c>
      <c r="H26" s="20">
        <f>ROUND(F26/G26,3)</f>
        <v>0.155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18</v>
      </c>
      <c r="I29" s="50"/>
      <c r="K29" s="2"/>
    </row>
    <row r="30" spans="1:11" x14ac:dyDescent="0.2">
      <c r="B30" s="22" t="str">
        <f>C12&amp;" "&amp;'2.3c'!$J$1&amp;", "&amp;'2.3c'!$J$2</f>
        <v>(2) Exhibit 2, Sheet 3c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"&amp;'10.1c'!$J$1&amp;", "&amp;'10.1c'!$J$2</f>
        <v>(6) Exhibit 10, Sheet 1c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62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I57" s="50"/>
      <c r="K57" s="2"/>
    </row>
    <row r="58" spans="9:11" x14ac:dyDescent="0.2">
      <c r="I58" s="50"/>
      <c r="K58" s="2"/>
    </row>
    <row r="59" spans="9:11" x14ac:dyDescent="0.2">
      <c r="I59" s="50"/>
      <c r="K59" s="2"/>
    </row>
    <row r="60" spans="9:11" x14ac:dyDescent="0.2">
      <c r="I60" s="50"/>
      <c r="K60" s="2"/>
    </row>
    <row r="61" spans="9:11" x14ac:dyDescent="0.2">
      <c r="I61" s="50"/>
      <c r="K61" s="2"/>
    </row>
    <row r="62" spans="9:11" x14ac:dyDescent="0.2">
      <c r="I62" s="50"/>
      <c r="K62" s="2"/>
    </row>
    <row r="63" spans="9:11" x14ac:dyDescent="0.2">
      <c r="I63" s="50"/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69"/>
  <sheetViews>
    <sheetView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I1" s="50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I2" s="50"/>
      <c r="J2" s="7" t="s">
        <v>50</v>
      </c>
      <c r="K2" s="2"/>
    </row>
    <row r="3" spans="1:12" x14ac:dyDescent="0.2">
      <c r="A3" s="8" t="str">
        <f>'1'!$A$3</f>
        <v>Rate Level Review</v>
      </c>
      <c r="B3" s="12"/>
      <c r="I3" s="50"/>
      <c r="J3" s="134"/>
      <c r="K3" s="2"/>
    </row>
    <row r="4" spans="1:12" x14ac:dyDescent="0.2">
      <c r="A4" t="s">
        <v>336</v>
      </c>
      <c r="B4" s="12"/>
      <c r="I4" s="50"/>
      <c r="K4" s="2"/>
    </row>
    <row r="5" spans="1:12" x14ac:dyDescent="0.2">
      <c r="A5" t="s">
        <v>354</v>
      </c>
      <c r="B5" s="12"/>
      <c r="I5" s="50"/>
      <c r="K5" s="2"/>
    </row>
    <row r="6" spans="1:12" x14ac:dyDescent="0.2">
      <c r="I6" s="50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2" thickTop="1" x14ac:dyDescent="0.2">
      <c r="I8" s="50"/>
      <c r="K8" s="2"/>
    </row>
    <row r="9" spans="1:12" x14ac:dyDescent="0.2">
      <c r="A9" t="s">
        <v>34</v>
      </c>
      <c r="C9" s="22" t="s">
        <v>36</v>
      </c>
      <c r="E9" t="s">
        <v>39</v>
      </c>
      <c r="F9" t="s">
        <v>41</v>
      </c>
      <c r="G9" t="s">
        <v>45</v>
      </c>
      <c r="H9" t="s">
        <v>13</v>
      </c>
      <c r="I9" s="50"/>
      <c r="K9" s="2"/>
      <c r="L9" s="27"/>
    </row>
    <row r="10" spans="1:12" x14ac:dyDescent="0.2">
      <c r="A10" t="s">
        <v>35</v>
      </c>
      <c r="C10" t="s">
        <v>8</v>
      </c>
      <c r="D10" t="s">
        <v>37</v>
      </c>
      <c r="E10" t="s">
        <v>40</v>
      </c>
      <c r="F10" t="s">
        <v>8</v>
      </c>
      <c r="G10" t="s">
        <v>43</v>
      </c>
      <c r="H10" t="s">
        <v>8</v>
      </c>
      <c r="I10" s="50"/>
      <c r="K10" s="2"/>
      <c r="L10" t="s">
        <v>220</v>
      </c>
    </row>
    <row r="11" spans="1:12" x14ac:dyDescent="0.2">
      <c r="A11" s="9" t="str">
        <f>TEXT($L$11,"m/d/xx")</f>
        <v>9/30/xx</v>
      </c>
      <c r="B11" s="9"/>
      <c r="C11" s="9" t="s">
        <v>42</v>
      </c>
      <c r="D11" s="9" t="s">
        <v>38</v>
      </c>
      <c r="E11" s="9" t="s">
        <v>38</v>
      </c>
      <c r="F11" s="9" t="s">
        <v>11</v>
      </c>
      <c r="G11" s="9" t="s">
        <v>44</v>
      </c>
      <c r="H11" s="9" t="s">
        <v>30</v>
      </c>
      <c r="I11" s="50"/>
      <c r="K11" s="2"/>
      <c r="L11" s="248">
        <f>'2.4a'!L$22</f>
        <v>43373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20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2009</v>
      </c>
      <c r="B14" s="25"/>
      <c r="C14" s="33">
        <f>'2.3d'!E14</f>
        <v>551702</v>
      </c>
      <c r="D14" s="36">
        <f>'4.1'!$E$60</f>
        <v>0.26800000000000002</v>
      </c>
      <c r="E14" s="35">
        <f>'2.2a'!E14</f>
        <v>1.161</v>
      </c>
      <c r="F14" s="19">
        <f>ROUND(C14*(1+D14)*E14,0)</f>
        <v>812187</v>
      </c>
      <c r="G14" s="33">
        <f>'10.1d'!E14</f>
        <v>3324681</v>
      </c>
      <c r="H14" s="20">
        <f>ROUND(F14/G14,3)</f>
        <v>0.24399999999999999</v>
      </c>
      <c r="I14" s="172"/>
      <c r="K14" s="2"/>
    </row>
    <row r="15" spans="1:12" x14ac:dyDescent="0.2">
      <c r="A15" t="str">
        <f t="shared" si="1"/>
        <v>2010</v>
      </c>
      <c r="B15" s="25"/>
      <c r="C15" s="33">
        <f>'2.3d'!E15</f>
        <v>182872</v>
      </c>
      <c r="D15" s="36">
        <f t="shared" ref="D15:D23" si="2">D$14</f>
        <v>0.26800000000000002</v>
      </c>
      <c r="E15" s="35">
        <f>'2.2a'!E15</f>
        <v>1.161</v>
      </c>
      <c r="F15" s="19">
        <f t="shared" ref="F15:F22" si="3">ROUND(C15*(1+D15)*E15,0)</f>
        <v>269215</v>
      </c>
      <c r="G15" s="33">
        <f>'10.1d'!E15</f>
        <v>3606426</v>
      </c>
      <c r="H15" s="20">
        <f t="shared" ref="H15:H22" si="4">ROUND(F15/G15,3)</f>
        <v>7.4999999999999997E-2</v>
      </c>
      <c r="I15" s="172"/>
      <c r="K15" s="2"/>
    </row>
    <row r="16" spans="1:12" x14ac:dyDescent="0.2">
      <c r="A16" t="str">
        <f t="shared" si="1"/>
        <v>2011</v>
      </c>
      <c r="B16" s="25"/>
      <c r="C16" s="33">
        <f>'2.3d'!E16</f>
        <v>54382</v>
      </c>
      <c r="D16" s="36">
        <f t="shared" si="2"/>
        <v>0.26800000000000002</v>
      </c>
      <c r="E16" s="35">
        <f>'2.2a'!E16</f>
        <v>1.153</v>
      </c>
      <c r="F16" s="19">
        <f t="shared" si="3"/>
        <v>79507</v>
      </c>
      <c r="G16" s="33">
        <f>'10.1d'!E16</f>
        <v>3878435</v>
      </c>
      <c r="H16" s="20">
        <f t="shared" si="4"/>
        <v>0.02</v>
      </c>
      <c r="I16" s="172"/>
      <c r="K16" s="2"/>
    </row>
    <row r="17" spans="1:11" x14ac:dyDescent="0.2">
      <c r="A17" t="str">
        <f t="shared" si="1"/>
        <v>2012</v>
      </c>
      <c r="B17" s="25"/>
      <c r="C17" s="33">
        <f>'2.3d'!E17</f>
        <v>259290</v>
      </c>
      <c r="D17" s="36">
        <f t="shared" si="2"/>
        <v>0.26800000000000002</v>
      </c>
      <c r="E17" s="35">
        <f>'2.2a'!E17</f>
        <v>1.1220000000000001</v>
      </c>
      <c r="F17" s="19">
        <f t="shared" si="3"/>
        <v>368891</v>
      </c>
      <c r="G17" s="33">
        <f>'10.1d'!E17</f>
        <v>4306581</v>
      </c>
      <c r="H17" s="20">
        <f t="shared" si="4"/>
        <v>8.5999999999999993E-2</v>
      </c>
      <c r="I17" s="172"/>
      <c r="K17" s="2"/>
    </row>
    <row r="18" spans="1:11" x14ac:dyDescent="0.2">
      <c r="A18" t="str">
        <f t="shared" si="1"/>
        <v>2013</v>
      </c>
      <c r="B18" s="25"/>
      <c r="C18" s="33">
        <f>'2.3d'!E18</f>
        <v>503262</v>
      </c>
      <c r="D18" s="36">
        <f t="shared" si="2"/>
        <v>0.26800000000000002</v>
      </c>
      <c r="E18" s="35">
        <f>'2.2a'!E18</f>
        <v>1.1140000000000001</v>
      </c>
      <c r="F18" s="19">
        <f t="shared" si="3"/>
        <v>710884</v>
      </c>
      <c r="G18" s="33">
        <f>'10.1d'!E18</f>
        <v>4573701</v>
      </c>
      <c r="H18" s="20">
        <f t="shared" si="4"/>
        <v>0.155</v>
      </c>
      <c r="I18" s="172"/>
      <c r="K18" s="2"/>
    </row>
    <row r="19" spans="1:11" x14ac:dyDescent="0.2">
      <c r="A19" t="str">
        <f t="shared" si="1"/>
        <v>2014</v>
      </c>
      <c r="B19" s="25"/>
      <c r="C19" s="33">
        <f>'2.3d'!E19</f>
        <v>30902</v>
      </c>
      <c r="D19" s="36">
        <f t="shared" si="2"/>
        <v>0.26800000000000002</v>
      </c>
      <c r="E19" s="35">
        <f>'2.2a'!E19</f>
        <v>1.0920000000000001</v>
      </c>
      <c r="F19" s="19">
        <f t="shared" si="3"/>
        <v>42789</v>
      </c>
      <c r="G19" s="33">
        <f>'10.1d'!E19</f>
        <v>4650368</v>
      </c>
      <c r="H19" s="20">
        <f t="shared" si="4"/>
        <v>8.9999999999999993E-3</v>
      </c>
      <c r="I19" s="172"/>
      <c r="K19" s="2"/>
    </row>
    <row r="20" spans="1:11" x14ac:dyDescent="0.2">
      <c r="A20" t="str">
        <f t="shared" si="1"/>
        <v>2015</v>
      </c>
      <c r="B20" s="25"/>
      <c r="C20" s="33">
        <f>'2.3d'!E20</f>
        <v>328326</v>
      </c>
      <c r="D20" s="36">
        <f t="shared" si="2"/>
        <v>0.26800000000000002</v>
      </c>
      <c r="E20" s="35">
        <f>'2.2a'!E20</f>
        <v>1.0780000000000001</v>
      </c>
      <c r="F20" s="19">
        <f t="shared" si="3"/>
        <v>448790</v>
      </c>
      <c r="G20" s="33">
        <f>'10.1d'!E20</f>
        <v>4748938</v>
      </c>
      <c r="H20" s="20">
        <f t="shared" si="4"/>
        <v>9.5000000000000001E-2</v>
      </c>
      <c r="I20" s="172"/>
      <c r="K20" s="2"/>
    </row>
    <row r="21" spans="1:11" x14ac:dyDescent="0.2">
      <c r="A21" t="str">
        <f t="shared" si="1"/>
        <v>2016</v>
      </c>
      <c r="B21" s="25"/>
      <c r="C21" s="33">
        <f>'2.3d'!E21</f>
        <v>463861</v>
      </c>
      <c r="D21" s="36">
        <f t="shared" si="2"/>
        <v>0.26800000000000002</v>
      </c>
      <c r="E21" s="35">
        <f>'2.2a'!E21</f>
        <v>1.083</v>
      </c>
      <c r="F21" s="19">
        <f t="shared" si="3"/>
        <v>636994</v>
      </c>
      <c r="G21" s="33">
        <f>'10.1d'!E21</f>
        <v>4776381</v>
      </c>
      <c r="H21" s="20">
        <f t="shared" si="4"/>
        <v>0.13300000000000001</v>
      </c>
      <c r="I21" s="172"/>
      <c r="K21" s="2"/>
    </row>
    <row r="22" spans="1:11" x14ac:dyDescent="0.2">
      <c r="A22" t="str">
        <f t="shared" si="1"/>
        <v>2017</v>
      </c>
      <c r="B22" s="51"/>
      <c r="C22" s="49">
        <f>'2.3d'!E22</f>
        <v>526346</v>
      </c>
      <c r="D22" s="78">
        <f t="shared" si="2"/>
        <v>0.26800000000000002</v>
      </c>
      <c r="E22" s="107">
        <f>'2.2a'!E22</f>
        <v>1.0640000000000001</v>
      </c>
      <c r="F22" s="60">
        <f t="shared" si="3"/>
        <v>710121</v>
      </c>
      <c r="G22" s="49">
        <f>'10.1d'!E22</f>
        <v>4657598</v>
      </c>
      <c r="H22" s="172">
        <f t="shared" si="4"/>
        <v>0.152</v>
      </c>
      <c r="I22" s="172"/>
      <c r="K22" s="2"/>
    </row>
    <row r="23" spans="1:11" x14ac:dyDescent="0.2">
      <c r="A23" t="str">
        <f>TEXT(YEAR($L$11),"#")</f>
        <v>2018</v>
      </c>
      <c r="B23" s="51"/>
      <c r="C23" s="49">
        <f>'2.3d'!E23</f>
        <v>304681</v>
      </c>
      <c r="D23" s="78">
        <f t="shared" si="2"/>
        <v>0.26800000000000002</v>
      </c>
      <c r="E23" s="107">
        <f>'2.2a'!E23</f>
        <v>1.034</v>
      </c>
      <c r="F23" s="60">
        <f>ROUND(C23*(1+D23)*E23,0)</f>
        <v>399471</v>
      </c>
      <c r="G23" s="49">
        <f>'10.1d'!E23</f>
        <v>4410916</v>
      </c>
      <c r="H23" s="172">
        <f>ROUND(F23/G23,3)</f>
        <v>9.0999999999999998E-2</v>
      </c>
      <c r="I23" s="172"/>
      <c r="K23" s="2"/>
    </row>
    <row r="24" spans="1:11" x14ac:dyDescent="0.2">
      <c r="A24" s="9"/>
      <c r="B24" s="26"/>
      <c r="C24" s="34"/>
      <c r="D24" s="37"/>
      <c r="E24" s="69"/>
      <c r="F24" s="28"/>
      <c r="G24" s="34"/>
      <c r="H24" s="21"/>
      <c r="I24" s="50"/>
      <c r="K24" s="2"/>
    </row>
    <row r="25" spans="1:11" x14ac:dyDescent="0.2">
      <c r="I25" s="172"/>
      <c r="J25" s="20"/>
      <c r="K25" s="2"/>
    </row>
    <row r="26" spans="1:11" x14ac:dyDescent="0.2">
      <c r="A26" t="s">
        <v>9</v>
      </c>
      <c r="C26" s="19">
        <f>SUM(C14:C24)</f>
        <v>3205624</v>
      </c>
      <c r="F26" s="19">
        <f>SUM(F14:F24)</f>
        <v>4478849</v>
      </c>
      <c r="G26" s="19">
        <f>SUM(G14:G24)</f>
        <v>42934025</v>
      </c>
      <c r="H26" s="20">
        <f>ROUND(F26/G26,3)</f>
        <v>0.104</v>
      </c>
      <c r="I26" s="50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2" thickTop="1" x14ac:dyDescent="0.2">
      <c r="I28" s="50"/>
      <c r="K28" s="2"/>
    </row>
    <row r="29" spans="1:11" x14ac:dyDescent="0.2">
      <c r="A29" t="s">
        <v>18</v>
      </c>
      <c r="I29" s="50"/>
      <c r="K29" s="2"/>
    </row>
    <row r="30" spans="1:11" x14ac:dyDescent="0.2">
      <c r="B30" s="22" t="str">
        <f>C12&amp;" "&amp;'2.3d'!$J$1&amp;", "&amp;'2.3d'!$J$2</f>
        <v>(2) Exhibit 2, Sheet 3d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"&amp;'10.1d'!$J$1&amp;", "&amp;'10.1d'!$J$2</f>
        <v>(6) Exhibit 10, Sheet 1d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A39" s="62"/>
      <c r="B39" s="25"/>
      <c r="I39" s="50"/>
      <c r="K39" s="2"/>
    </row>
    <row r="40" spans="1:11" x14ac:dyDescent="0.2">
      <c r="B40" s="25"/>
      <c r="I40" s="50"/>
      <c r="K40" s="2"/>
    </row>
    <row r="41" spans="1:11" x14ac:dyDescent="0.2"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M69"/>
  <sheetViews>
    <sheetView zoomScaleNormal="100" workbookViewId="0">
      <selection activeCell="D23" sqref="D2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53</v>
      </c>
      <c r="B4" s="12"/>
      <c r="K4" s="2"/>
    </row>
    <row r="5" spans="1:12" x14ac:dyDescent="0.2">
      <c r="A5" t="s">
        <v>32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102" t="s">
        <v>335</v>
      </c>
      <c r="E9" t="s">
        <v>36</v>
      </c>
      <c r="K9" s="2"/>
      <c r="L9" s="27"/>
    </row>
    <row r="10" spans="1:12" x14ac:dyDescent="0.2">
      <c r="A10" t="s">
        <v>54</v>
      </c>
      <c r="C10" t="s">
        <v>8</v>
      </c>
      <c r="D10" t="s">
        <v>57</v>
      </c>
      <c r="E10" t="s">
        <v>8</v>
      </c>
      <c r="K10" s="2"/>
    </row>
    <row r="11" spans="1:12" x14ac:dyDescent="0.2">
      <c r="A11" s="9" t="s">
        <v>55</v>
      </c>
      <c r="B11" s="9"/>
      <c r="C11" s="9" t="s">
        <v>56</v>
      </c>
      <c r="D11" s="9" t="s">
        <v>38</v>
      </c>
      <c r="E11" s="9" t="s">
        <v>42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2009</v>
      </c>
      <c r="B14" s="25"/>
      <c r="C14" s="33">
        <f>'2.4a'!C14</f>
        <v>3455233</v>
      </c>
      <c r="D14" s="44">
        <v>1</v>
      </c>
      <c r="E14" s="31">
        <f t="shared" ref="E14:E21" si="1">ROUND(C14*D14,0)</f>
        <v>3455233</v>
      </c>
      <c r="K14" s="2"/>
      <c r="L14" s="35"/>
    </row>
    <row r="15" spans="1:12" x14ac:dyDescent="0.2">
      <c r="A15" t="str">
        <f t="shared" si="0"/>
        <v>2010</v>
      </c>
      <c r="B15" s="25"/>
      <c r="C15" s="33">
        <f>'2.4a'!C15</f>
        <v>1264721</v>
      </c>
      <c r="D15" s="36">
        <f>INDEX('ldf 3.1a'!$C$46:$K$46,11-MATCH(A15,A$14:A$23))</f>
        <v>1</v>
      </c>
      <c r="E15" s="31">
        <f t="shared" si="1"/>
        <v>1264721</v>
      </c>
      <c r="K15" s="2"/>
      <c r="L15" s="35"/>
    </row>
    <row r="16" spans="1:12" x14ac:dyDescent="0.2">
      <c r="A16" t="str">
        <f t="shared" si="0"/>
        <v>2011</v>
      </c>
      <c r="B16" s="25"/>
      <c r="C16" s="33">
        <f>'2.4a'!C16</f>
        <v>1277401</v>
      </c>
      <c r="D16" s="36">
        <f>INDEX('ldf 3.1a'!$C$46:$K$46,11-MATCH(A16,A$14:A$23))</f>
        <v>1</v>
      </c>
      <c r="E16" s="31">
        <f t="shared" si="1"/>
        <v>1277401</v>
      </c>
      <c r="K16" s="2"/>
      <c r="L16" s="35"/>
    </row>
    <row r="17" spans="1:13" x14ac:dyDescent="0.2">
      <c r="A17" t="str">
        <f t="shared" si="0"/>
        <v>2012</v>
      </c>
      <c r="B17" s="25"/>
      <c r="C17" s="33">
        <f>'2.4a'!C17</f>
        <v>10634874</v>
      </c>
      <c r="D17" s="36">
        <f>INDEX('ldf 3.1a'!$C$46:$K$46,11-MATCH(A17,A$14:A$23))</f>
        <v>1</v>
      </c>
      <c r="E17" s="31">
        <f t="shared" si="1"/>
        <v>10634874</v>
      </c>
      <c r="K17" s="2"/>
      <c r="L17" s="35"/>
    </row>
    <row r="18" spans="1:13" x14ac:dyDescent="0.2">
      <c r="A18" t="str">
        <f t="shared" si="0"/>
        <v>2013</v>
      </c>
      <c r="B18" s="25"/>
      <c r="C18" s="33">
        <f>'2.4a'!C18</f>
        <v>54058418</v>
      </c>
      <c r="D18" s="36">
        <f>INDEX('ldf 3.1a'!$C$46:$K$46,11-MATCH(A18,A$14:A$23))</f>
        <v>1.0009999999999999</v>
      </c>
      <c r="E18" s="31">
        <f t="shared" si="1"/>
        <v>54112476</v>
      </c>
      <c r="K18" s="2"/>
      <c r="L18" s="35"/>
    </row>
    <row r="19" spans="1:13" x14ac:dyDescent="0.2">
      <c r="A19" t="str">
        <f t="shared" si="0"/>
        <v>2014</v>
      </c>
      <c r="B19" s="25"/>
      <c r="C19" s="33">
        <f>'2.4a'!C19</f>
        <v>520624</v>
      </c>
      <c r="D19" s="36">
        <f>INDEX('ldf 3.1a'!$C$46:$K$46,11-MATCH(A19,A$14:A$23))</f>
        <v>1.0049999999999999</v>
      </c>
      <c r="E19" s="31">
        <f t="shared" si="1"/>
        <v>523227</v>
      </c>
      <c r="K19" s="2"/>
      <c r="L19" s="35"/>
    </row>
    <row r="20" spans="1:13" x14ac:dyDescent="0.2">
      <c r="A20" t="str">
        <f t="shared" si="0"/>
        <v>2015</v>
      </c>
      <c r="B20" s="25"/>
      <c r="C20" s="33">
        <f>'2.4a'!C20</f>
        <v>17432597</v>
      </c>
      <c r="D20" s="36">
        <f>INDEX('ldf 3.1a'!$C$46:$K$46,11-MATCH(A20,A$14:A$23))</f>
        <v>1.0169999999999999</v>
      </c>
      <c r="E20" s="31">
        <f t="shared" si="1"/>
        <v>17728951</v>
      </c>
      <c r="K20" s="2"/>
      <c r="L20" s="35"/>
    </row>
    <row r="21" spans="1:13" x14ac:dyDescent="0.2">
      <c r="A21" t="str">
        <f t="shared" si="0"/>
        <v>2016</v>
      </c>
      <c r="B21" s="25"/>
      <c r="C21" s="33">
        <f>'2.4a'!C21</f>
        <v>10964824</v>
      </c>
      <c r="D21" s="36">
        <f>INDEX('ldf 3.1a'!$C$46:$K$46,11-MATCH(A21,A$14:A$23))</f>
        <v>1.0389999999999999</v>
      </c>
      <c r="E21" s="31">
        <f t="shared" si="1"/>
        <v>11392452</v>
      </c>
      <c r="K21" s="2"/>
      <c r="L21" t="s">
        <v>220</v>
      </c>
      <c r="M21" t="s">
        <v>221</v>
      </c>
    </row>
    <row r="22" spans="1:13" x14ac:dyDescent="0.2">
      <c r="A22" t="str">
        <f t="shared" si="0"/>
        <v>2017</v>
      </c>
      <c r="B22" s="51"/>
      <c r="C22" s="49">
        <f>'2.4a'!C22</f>
        <v>2530528</v>
      </c>
      <c r="D22" s="36">
        <f>INDEX('ldf 3.1a'!$C$46:$K$46,11-MATCH(A22,A$14:A$23))</f>
        <v>1.0940000000000001</v>
      </c>
      <c r="E22" s="128">
        <f>ROUND(C22*D22,0)</f>
        <v>2768398</v>
      </c>
      <c r="K22" s="2"/>
      <c r="L22" s="88">
        <f>'2.4a'!L$22</f>
        <v>43373</v>
      </c>
      <c r="M22" s="88">
        <f>'2.4a'!M$22</f>
        <v>43465</v>
      </c>
    </row>
    <row r="23" spans="1:13" x14ac:dyDescent="0.2">
      <c r="A23" t="str">
        <f>TEXT(YEAR($L$22),"#")</f>
        <v>2018</v>
      </c>
      <c r="B23" s="51"/>
      <c r="C23" s="49">
        <f>'2.4a'!C23</f>
        <v>2051189</v>
      </c>
      <c r="D23" s="36">
        <f>INDEX('ldf 3.1a'!$C$46:$K$46,11-MATCH(A23,A$14:A$23))</f>
        <v>1.272</v>
      </c>
      <c r="E23" s="128">
        <f>ROUND(C23*D23,0)</f>
        <v>2609112</v>
      </c>
      <c r="K23" s="2"/>
      <c r="L23" s="88"/>
      <c r="M23" s="88"/>
    </row>
    <row r="24" spans="1:13" x14ac:dyDescent="0.2">
      <c r="A24" s="9"/>
      <c r="B24" s="26"/>
      <c r="C24" s="34"/>
      <c r="D24" s="205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104190409</v>
      </c>
      <c r="E26" s="19">
        <f>SUM(E14:E24)</f>
        <v>105766845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18</v>
      </c>
      <c r="K29" s="2"/>
    </row>
    <row r="30" spans="1:13" x14ac:dyDescent="0.2">
      <c r="B30" s="22" t="str">
        <f>C12&amp;" "&amp;'2.4a'!$J$1&amp;", "&amp;'2.4a'!$J$2&amp;", as of "&amp;TEXT($M$22,"m/d/yy")</f>
        <v>(2) Exhibit 2, Sheet 4a, as of 12/31/18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1:11" x14ac:dyDescent="0.2">
      <c r="B33" s="22"/>
      <c r="K33" s="2"/>
    </row>
    <row r="34" spans="1:11" x14ac:dyDescent="0.2">
      <c r="B34" s="25"/>
      <c r="K34" s="2"/>
    </row>
    <row r="35" spans="1:11" x14ac:dyDescent="0.2">
      <c r="A35" s="62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50</vt:i4>
      </vt:variant>
    </vt:vector>
  </HeadingPairs>
  <TitlesOfParts>
    <vt:vector size="100" baseType="lpstr">
      <vt:lpstr>Cover Page</vt:lpstr>
      <vt:lpstr>Table of Contents</vt:lpstr>
      <vt:lpstr>1</vt:lpstr>
      <vt:lpstr>2.1</vt:lpstr>
      <vt:lpstr>2.2a</vt:lpstr>
      <vt:lpstr>2.2b</vt:lpstr>
      <vt:lpstr>2.2c</vt:lpstr>
      <vt:lpstr>2.2d</vt:lpstr>
      <vt:lpstr>2.3a</vt:lpstr>
      <vt:lpstr>2.3b</vt:lpstr>
      <vt:lpstr>2.3c</vt:lpstr>
      <vt:lpstr>2.3d</vt:lpstr>
      <vt:lpstr>2.4a</vt:lpstr>
      <vt:lpstr>2.4b</vt:lpstr>
      <vt:lpstr>2.4c</vt:lpstr>
      <vt:lpstr>2.4d</vt:lpstr>
      <vt:lpstr>trend 2.5</vt:lpstr>
      <vt:lpstr>ldf 3.1a</vt:lpstr>
      <vt:lpstr>ldf 3.1b</vt:lpstr>
      <vt:lpstr>3.2 premium trend</vt:lpstr>
      <vt:lpstr>3.3a</vt:lpstr>
      <vt:lpstr>3.3b</vt:lpstr>
      <vt:lpstr>3.3c</vt:lpstr>
      <vt:lpstr>3.3d</vt:lpstr>
      <vt:lpstr>4.1</vt:lpstr>
      <vt:lpstr>4.2</vt:lpstr>
      <vt:lpstr>4.3AS loss Dev</vt:lpstr>
      <vt:lpstr>4.4</vt:lpstr>
      <vt:lpstr>4.5AS LAE Dev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8.1</vt:lpstr>
      <vt:lpstr>8.2</vt:lpstr>
      <vt:lpstr>9</vt:lpstr>
      <vt:lpstr>10.1a</vt:lpstr>
      <vt:lpstr>10.1b</vt:lpstr>
      <vt:lpstr>10.1c</vt:lpstr>
      <vt:lpstr>10.1d</vt:lpstr>
      <vt:lpstr>10.2</vt:lpstr>
      <vt:lpstr>11.1</vt:lpstr>
      <vt:lpstr>11.2</vt:lpstr>
      <vt:lpstr>12</vt:lpstr>
      <vt:lpstr>'1'!Print_Area</vt:lpstr>
      <vt:lpstr>'10.1a'!Print_Area</vt:lpstr>
      <vt:lpstr>'10.1b'!Print_Area</vt:lpstr>
      <vt:lpstr>'10.1c'!Print_Area</vt:lpstr>
      <vt:lpstr>'10.1d'!Print_Area</vt:lpstr>
      <vt:lpstr>'10.2'!Print_Area</vt:lpstr>
      <vt:lpstr>'11.1'!Print_Area</vt:lpstr>
      <vt:lpstr>'11.2'!Print_Area</vt:lpstr>
      <vt:lpstr>'12'!Print_Area</vt:lpstr>
      <vt:lpstr>'2.1'!Print_Area</vt:lpstr>
      <vt:lpstr>'2.2a'!Print_Area</vt:lpstr>
      <vt:lpstr>'2.2b'!Print_Area</vt:lpstr>
      <vt:lpstr>'2.2c'!Print_Area</vt:lpstr>
      <vt:lpstr>'2.2d'!Print_Area</vt:lpstr>
      <vt:lpstr>'2.3a'!Print_Area</vt:lpstr>
      <vt:lpstr>'2.3b'!Print_Area</vt:lpstr>
      <vt:lpstr>'2.3c'!Print_Area</vt:lpstr>
      <vt:lpstr>'2.3d'!Print_Area</vt:lpstr>
      <vt:lpstr>'2.4a'!Print_Area</vt:lpstr>
      <vt:lpstr>'2.4b'!Print_Area</vt:lpstr>
      <vt:lpstr>'2.4c'!Print_Area</vt:lpstr>
      <vt:lpstr>'2.4d'!Print_Area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'4.3AS loss Dev'!Print_Area</vt:lpstr>
      <vt:lpstr>'4.4'!Print_Area</vt:lpstr>
      <vt:lpstr>'4.5AS LAE Dev'!Print_Area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'8.1'!Print_Area</vt:lpstr>
      <vt:lpstr>'8.2'!Print_Area</vt:lpstr>
      <vt:lpstr>'9'!Print_Area</vt:lpstr>
      <vt:lpstr>'Cover Page'!Print_Area</vt:lpstr>
      <vt:lpstr>'ldf 3.1a'!Print_Area</vt:lpstr>
      <vt:lpstr>'ldf 3.1b'!Print_Area</vt:lpstr>
      <vt:lpstr>'Table of Contents'!Print_Area</vt:lpstr>
      <vt:lpstr>'trend 2.5'!Print_Area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Emily Howard</cp:lastModifiedBy>
  <cp:lastPrinted>2019-07-19T23:19:26Z</cp:lastPrinted>
  <dcterms:created xsi:type="dcterms:W3CDTF">2001-12-17T21:49:07Z</dcterms:created>
  <dcterms:modified xsi:type="dcterms:W3CDTF">2019-10-11T13:29:46Z</dcterms:modified>
</cp:coreProperties>
</file>