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1 - Public\TWIA Rates Website Publishing\"/>
    </mc:Choice>
  </mc:AlternateContent>
  <xr:revisionPtr revIDLastSave="0" documentId="13_ncr:1_{9A6E47A1-C69F-4F65-8FA1-659285213067}" xr6:coauthVersionLast="47" xr6:coauthVersionMax="47" xr10:uidLastSave="{00000000-0000-0000-0000-000000000000}"/>
  <bookViews>
    <workbookView xWindow="-120" yWindow="-120" windowWidth="23070" windowHeight="13740" tabRatio="930" xr2:uid="{B012DC09-D67D-4D0A-BED9-E2C6C7FB96C4}"/>
  </bookViews>
  <sheets>
    <sheet name="Cover Page" sheetId="61" r:id="rId1"/>
    <sheet name="Table of Contents" sheetId="62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68" r:id="rId10"/>
    <sheet name="2.3c" sheetId="8" r:id="rId11"/>
    <sheet name="2.3d" sheetId="9" r:id="rId12"/>
    <sheet name="2.3e" sheetId="10" r:id="rId13"/>
    <sheet name="2.4a" sheetId="11" r:id="rId14"/>
    <sheet name="2.4b" sheetId="12" r:id="rId15"/>
    <sheet name="2.4c" sheetId="13" r:id="rId16"/>
    <sheet name="2.4d" sheetId="14" r:id="rId17"/>
    <sheet name="2.5" sheetId="15" r:id="rId18"/>
    <sheet name="3.1 ldf" sheetId="60" r:id="rId19"/>
    <sheet name="3.2 premium trend" sheetId="17" r:id="rId20"/>
    <sheet name="3.3a" sheetId="18" r:id="rId21"/>
    <sheet name="3.3b" sheetId="19" r:id="rId22"/>
    <sheet name="3.3c" sheetId="20" r:id="rId23"/>
    <sheet name="3.3d" sheetId="21" r:id="rId24"/>
    <sheet name="4" sheetId="22" r:id="rId25"/>
    <sheet name="5" sheetId="27" r:id="rId26"/>
    <sheet name="6.1" sheetId="28" r:id="rId27"/>
    <sheet name="6.2" sheetId="29" r:id="rId28"/>
    <sheet name="6.3" sheetId="30" r:id="rId29"/>
    <sheet name="6.4" sheetId="31" r:id="rId30"/>
    <sheet name="6.5" sheetId="32" r:id="rId31"/>
    <sheet name="6.6" sheetId="33" r:id="rId32"/>
    <sheet name="6.7" sheetId="34" r:id="rId33"/>
    <sheet name="7.1" sheetId="35" r:id="rId34"/>
    <sheet name="7.2" sheetId="37" r:id="rId35"/>
    <sheet name="7.3" sheetId="65" r:id="rId36"/>
    <sheet name="7.4" sheetId="66" r:id="rId37"/>
    <sheet name="8" sheetId="40" r:id="rId38"/>
    <sheet name="9.1a" sheetId="41" r:id="rId39"/>
    <sheet name="9.1b" sheetId="42" r:id="rId40"/>
    <sheet name="9.1c" sheetId="43" r:id="rId41"/>
    <sheet name="9.1d" sheetId="44" r:id="rId42"/>
    <sheet name="9.2" sheetId="45" r:id="rId43"/>
    <sheet name="10.1" sheetId="46" r:id="rId44"/>
    <sheet name="10.2" sheetId="67" r:id="rId45"/>
    <sheet name="11" sheetId="48" r:id="rId46"/>
  </sheets>
  <externalReferences>
    <externalReference r:id="rId47"/>
    <externalReference r:id="rId48"/>
    <externalReference r:id="rId49"/>
    <externalReference r:id="rId50"/>
  </externalReferences>
  <definedNames>
    <definedName name="_xlnm.Print_Area" localSheetId="2">'1'!$A$1:$K$71</definedName>
    <definedName name="_xlnm.Print_Area" localSheetId="43">'10.1'!$A$1:$K$67</definedName>
    <definedName name="_xlnm.Print_Area" localSheetId="44">'10.2'!$A$1:$H$60</definedName>
    <definedName name="_xlnm.Print_Area" localSheetId="45">'11'!$A$1:$J$71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'2.2d'!$A$1:$J$56</definedName>
    <definedName name="_xlnm.Print_Area" localSheetId="8">'2.3a'!$A$1:$M$68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'2.3e'!$A$1:$J$68</definedName>
    <definedName name="_xlnm.Print_Area" localSheetId="13">'2.4a'!$A$1:$J$68</definedName>
    <definedName name="_xlnm.Print_Area" localSheetId="14">'2.4b'!$A$1:$J$68</definedName>
    <definedName name="_xlnm.Print_Area" localSheetId="15">'2.4c'!$A$1:$J$68</definedName>
    <definedName name="_xlnm.Print_Area" localSheetId="16">'2.4d'!$A$1:$J$68</definedName>
    <definedName name="_xlnm.Print_Area" localSheetId="17">'2.5'!$A$1:$L$64</definedName>
    <definedName name="_xlnm.Print_Area" localSheetId="18">'3.1 ldf'!$A$1:$L$50</definedName>
    <definedName name="_xlnm.Print_Area" localSheetId="19">'3.2 premium trend'!$A$1:$L$70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'4'!$A$1:$J$70</definedName>
    <definedName name="_xlnm.Print_Area" localSheetId="25">'5'!$A$1:$H$44</definedName>
    <definedName name="_xlnm.Print_Area" localSheetId="26">'6.1'!$A$1:$J$48</definedName>
    <definedName name="_xlnm.Print_Area" localSheetId="27">'6.2'!$A$1:$J$81</definedName>
    <definedName name="_xlnm.Print_Area" localSheetId="28">'6.3'!$A$1:$I$75</definedName>
    <definedName name="_xlnm.Print_Area" localSheetId="29">'6.4'!$A$1:$I$65</definedName>
    <definedName name="_xlnm.Print_Area" localSheetId="30">'6.5'!$A$1:$I$66</definedName>
    <definedName name="_xlnm.Print_Area" localSheetId="31">'6.6'!$A$1:$I$65</definedName>
    <definedName name="_xlnm.Print_Area" localSheetId="32">'6.7'!$A$1:$I$65</definedName>
    <definedName name="_xlnm.Print_Area" localSheetId="33">'7.1'!$A$1:$K$68</definedName>
    <definedName name="_xlnm.Print_Area" localSheetId="34">'7.2'!$A$1:$K$68</definedName>
    <definedName name="_xlnm.Print_Area" localSheetId="35">'7.3'!$A$1:$K$68</definedName>
    <definedName name="_xlnm.Print_Area" localSheetId="36">'7.4'!$A$1:$K$68</definedName>
    <definedName name="_xlnm.Print_Area" localSheetId="37">'8'!$A$1:$J$69</definedName>
    <definedName name="_xlnm.Print_Area" localSheetId="38">'9.1a'!$A$1:$J$66</definedName>
    <definedName name="_xlnm.Print_Area" localSheetId="39">'9.1b'!$A$1:$J$62</definedName>
    <definedName name="_xlnm.Print_Area" localSheetId="40">'9.1c'!$A$1:$J$66</definedName>
    <definedName name="_xlnm.Print_Area" localSheetId="41">'9.1d'!$A$1:$J$66</definedName>
    <definedName name="_xlnm.Print_Area" localSheetId="42">'9.2'!$A$1:$J$44</definedName>
    <definedName name="_xlnm.Print_Area" localSheetId="1">'Table of Contents'!$A$2:$G$52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40" l="1"/>
  <c r="C62" i="17" l="1"/>
  <c r="C61" i="17"/>
  <c r="C67" i="17"/>
  <c r="A10" i="22" l="1"/>
  <c r="N58" i="17"/>
  <c r="A38" i="48" l="1"/>
  <c r="A39" i="48" s="1"/>
  <c r="A40" i="48" s="1"/>
  <c r="A41" i="48" s="1"/>
  <c r="A42" i="48" s="1"/>
  <c r="A43" i="48" s="1"/>
  <c r="D72" i="29"/>
  <c r="B69" i="22"/>
  <c r="B70" i="22"/>
  <c r="B40" i="66" l="1"/>
  <c r="K10" i="67" l="1"/>
  <c r="J10" i="67"/>
  <c r="J14" i="67"/>
  <c r="M11" i="35" s="1"/>
  <c r="B29" i="7"/>
  <c r="B64" i="21" l="1"/>
  <c r="B27" i="27"/>
  <c r="B38" i="18"/>
  <c r="B62" i="19"/>
  <c r="B62" i="20"/>
  <c r="B32" i="6"/>
  <c r="B31" i="6"/>
  <c r="B32" i="5"/>
  <c r="B31" i="5"/>
  <c r="B32" i="4"/>
  <c r="B31" i="4"/>
  <c r="B32" i="3"/>
  <c r="B31" i="3"/>
  <c r="B72" i="30"/>
  <c r="B61" i="20"/>
  <c r="B61" i="19"/>
  <c r="G43" i="62"/>
  <c r="G44" i="62"/>
  <c r="G51" i="62"/>
  <c r="G50" i="62"/>
  <c r="F52" i="62"/>
  <c r="F51" i="62"/>
  <c r="F50" i="62"/>
  <c r="F44" i="62"/>
  <c r="F43" i="62"/>
  <c r="F42" i="62"/>
  <c r="G36" i="62"/>
  <c r="F36" i="62"/>
  <c r="D44" i="62"/>
  <c r="D43" i="62"/>
  <c r="D42" i="62"/>
  <c r="D41" i="62"/>
  <c r="D36" i="62"/>
  <c r="D35" i="62"/>
  <c r="A5" i="28"/>
  <c r="B52" i="62"/>
  <c r="B49" i="62"/>
  <c r="B48" i="62"/>
  <c r="B47" i="62"/>
  <c r="B46" i="62"/>
  <c r="B39" i="62"/>
  <c r="B36" i="62"/>
  <c r="B35" i="62"/>
  <c r="B34" i="62"/>
  <c r="B40" i="62"/>
  <c r="B38" i="62"/>
  <c r="B33" i="62"/>
  <c r="B10" i="62"/>
  <c r="D51" i="62"/>
  <c r="B51" i="62"/>
  <c r="B50" i="62"/>
  <c r="G35" i="46"/>
  <c r="G29" i="46"/>
  <c r="F29" i="46"/>
  <c r="E29" i="46"/>
  <c r="D29" i="46"/>
  <c r="G26" i="46"/>
  <c r="G22" i="46"/>
  <c r="G18" i="46"/>
  <c r="G14" i="46"/>
  <c r="G15" i="46"/>
  <c r="B38" i="66"/>
  <c r="B38" i="37"/>
  <c r="B38" i="65"/>
  <c r="B40" i="65"/>
  <c r="B40" i="35"/>
  <c r="B40" i="37"/>
  <c r="B38" i="35"/>
  <c r="B41" i="62"/>
  <c r="B46" i="28"/>
  <c r="A11" i="18"/>
  <c r="C70" i="17"/>
  <c r="A27" i="60"/>
  <c r="A26" i="60"/>
  <c r="A25" i="60"/>
  <c r="A28" i="15"/>
  <c r="I13" i="15"/>
  <c r="G17" i="62"/>
  <c r="F17" i="62"/>
  <c r="D17" i="62"/>
  <c r="B17" i="62"/>
  <c r="B30" i="3"/>
  <c r="D14" i="68"/>
  <c r="E12" i="68"/>
  <c r="B32" i="68" s="1"/>
  <c r="D12" i="68"/>
  <c r="B31" i="68" s="1"/>
  <c r="C12" i="68"/>
  <c r="A12" i="68"/>
  <c r="A3" i="68"/>
  <c r="A2" i="68"/>
  <c r="A1" i="68"/>
  <c r="D14" i="10"/>
  <c r="D14" i="9"/>
  <c r="D14" i="8"/>
  <c r="G12" i="7"/>
  <c r="H12" i="7"/>
  <c r="G23" i="7"/>
  <c r="C12" i="7"/>
  <c r="G19" i="46" l="1"/>
  <c r="G31" i="46"/>
  <c r="G32" i="46" s="1"/>
  <c r="G36" i="46"/>
  <c r="G23" i="46"/>
  <c r="C22" i="7"/>
  <c r="C21" i="7" l="1"/>
  <c r="G22" i="7"/>
  <c r="C20" i="7" l="1"/>
  <c r="G21" i="7"/>
  <c r="C19" i="7" l="1"/>
  <c r="G20" i="7"/>
  <c r="C18" i="7" l="1"/>
  <c r="G19" i="7"/>
  <c r="C17" i="7" l="1"/>
  <c r="G18" i="7"/>
  <c r="C16" i="7" l="1"/>
  <c r="G17" i="7"/>
  <c r="C15" i="7" l="1"/>
  <c r="G16" i="7"/>
  <c r="C14" i="7" l="1"/>
  <c r="G15" i="7"/>
  <c r="G14" i="7" l="1"/>
  <c r="AX37" i="31" l="1"/>
  <c r="B37" i="18" l="1"/>
  <c r="B36" i="67"/>
  <c r="B35" i="67"/>
  <c r="B34" i="67"/>
  <c r="B33" i="67"/>
  <c r="B32" i="67"/>
  <c r="B31" i="67"/>
  <c r="B30" i="67"/>
  <c r="C17" i="67"/>
  <c r="C13" i="67"/>
  <c r="D10" i="67"/>
  <c r="F7" i="67"/>
  <c r="E7" i="67"/>
  <c r="D7" i="67"/>
  <c r="A3" i="67"/>
  <c r="A2" i="67"/>
  <c r="A1" i="67"/>
  <c r="B10" i="67" l="1"/>
  <c r="E33" i="35" l="1"/>
  <c r="G16" i="62"/>
  <c r="F16" i="62"/>
  <c r="G49" i="62"/>
  <c r="F49" i="62"/>
  <c r="G48" i="62"/>
  <c r="F48" i="62"/>
  <c r="G47" i="62"/>
  <c r="F47" i="62"/>
  <c r="G46" i="62"/>
  <c r="F46" i="62"/>
  <c r="F45" i="62"/>
  <c r="G42" i="62"/>
  <c r="G41" i="62"/>
  <c r="F41" i="62"/>
  <c r="G40" i="62"/>
  <c r="F40" i="62"/>
  <c r="G39" i="62"/>
  <c r="F39" i="62"/>
  <c r="G38" i="62"/>
  <c r="F38" i="62"/>
  <c r="G37" i="62"/>
  <c r="G31" i="62"/>
  <c r="F31" i="62"/>
  <c r="G30" i="62"/>
  <c r="F30" i="62"/>
  <c r="G29" i="62"/>
  <c r="F29" i="62"/>
  <c r="G28" i="62"/>
  <c r="F28" i="62"/>
  <c r="G26" i="62"/>
  <c r="F26" i="62"/>
  <c r="G25" i="62"/>
  <c r="F25" i="62"/>
  <c r="G24" i="62"/>
  <c r="F24" i="62"/>
  <c r="G23" i="62"/>
  <c r="F23" i="62"/>
  <c r="G22" i="62"/>
  <c r="F22" i="62"/>
  <c r="G21" i="62"/>
  <c r="F21" i="62"/>
  <c r="G20" i="62"/>
  <c r="F20" i="62"/>
  <c r="G19" i="62"/>
  <c r="F19" i="62"/>
  <c r="G18" i="62"/>
  <c r="F18" i="62"/>
  <c r="G15" i="62"/>
  <c r="F15" i="62"/>
  <c r="G14" i="62"/>
  <c r="F14" i="62"/>
  <c r="G13" i="62"/>
  <c r="F13" i="62"/>
  <c r="G12" i="62"/>
  <c r="F12" i="62"/>
  <c r="G11" i="62"/>
  <c r="F11" i="62"/>
  <c r="F10" i="62"/>
  <c r="F37" i="62"/>
  <c r="G35" i="62"/>
  <c r="F35" i="62"/>
  <c r="G34" i="62"/>
  <c r="F34" i="62"/>
  <c r="F33" i="62"/>
  <c r="F32" i="62"/>
  <c r="B33" i="1"/>
  <c r="B31" i="1"/>
  <c r="E16" i="28"/>
  <c r="E15" i="28"/>
  <c r="E14" i="28"/>
  <c r="E13" i="28"/>
  <c r="C16" i="28"/>
  <c r="C15" i="28"/>
  <c r="C14" i="28"/>
  <c r="C13" i="28"/>
  <c r="B8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M54" i="30"/>
  <c r="M53" i="30"/>
  <c r="M52" i="30"/>
  <c r="M51" i="30"/>
  <c r="M50" i="30"/>
  <c r="M49" i="30"/>
  <c r="M48" i="30"/>
  <c r="M47" i="30"/>
  <c r="M46" i="30"/>
  <c r="M45" i="30"/>
  <c r="A54" i="30"/>
  <c r="C23" i="60"/>
  <c r="D22" i="60"/>
  <c r="C22" i="60"/>
  <c r="E21" i="60"/>
  <c r="D21" i="60"/>
  <c r="C21" i="60"/>
  <c r="F20" i="60"/>
  <c r="E20" i="60"/>
  <c r="D20" i="60"/>
  <c r="C20" i="60"/>
  <c r="G19" i="60"/>
  <c r="F19" i="60"/>
  <c r="E19" i="60"/>
  <c r="D19" i="60"/>
  <c r="C19" i="60"/>
  <c r="H18" i="60"/>
  <c r="G18" i="60"/>
  <c r="F18" i="60"/>
  <c r="E18" i="60"/>
  <c r="D18" i="60"/>
  <c r="C18" i="60"/>
  <c r="I17" i="60"/>
  <c r="H17" i="60"/>
  <c r="G17" i="60"/>
  <c r="F17" i="60"/>
  <c r="E17" i="60"/>
  <c r="D17" i="60"/>
  <c r="C17" i="60"/>
  <c r="J16" i="60"/>
  <c r="I16" i="60"/>
  <c r="H16" i="60"/>
  <c r="G16" i="60"/>
  <c r="F16" i="60"/>
  <c r="E16" i="60"/>
  <c r="D16" i="60"/>
  <c r="C16" i="60"/>
  <c r="K15" i="60"/>
  <c r="J15" i="60"/>
  <c r="I15" i="60"/>
  <c r="H15" i="60"/>
  <c r="G15" i="60"/>
  <c r="F15" i="60"/>
  <c r="E15" i="60"/>
  <c r="D15" i="60"/>
  <c r="C15" i="60"/>
  <c r="K14" i="60"/>
  <c r="J14" i="60"/>
  <c r="I14" i="60"/>
  <c r="H14" i="60"/>
  <c r="G14" i="60"/>
  <c r="F14" i="60"/>
  <c r="E14" i="60"/>
  <c r="D14" i="60"/>
  <c r="C14" i="60"/>
  <c r="O23" i="60"/>
  <c r="N23" i="60"/>
  <c r="A11" i="60" s="1"/>
  <c r="A28" i="60" s="1"/>
  <c r="C72" i="29" l="1"/>
  <c r="N8" i="1"/>
  <c r="C17" i="2"/>
  <c r="C16" i="2"/>
  <c r="C15" i="2"/>
  <c r="C14" i="2"/>
  <c r="A14" i="15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52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B31" i="10"/>
  <c r="B31" i="9"/>
  <c r="B31" i="8"/>
  <c r="E23" i="7"/>
  <c r="D23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D23" i="14"/>
  <c r="D22" i="14"/>
  <c r="D21" i="14"/>
  <c r="D20" i="14"/>
  <c r="D19" i="14"/>
  <c r="D18" i="14"/>
  <c r="D17" i="14"/>
  <c r="D16" i="14"/>
  <c r="D15" i="14"/>
  <c r="D14" i="14"/>
  <c r="C23" i="14"/>
  <c r="C22" i="14"/>
  <c r="C21" i="14"/>
  <c r="C20" i="14"/>
  <c r="C19" i="14"/>
  <c r="C18" i="14"/>
  <c r="C17" i="14"/>
  <c r="C16" i="14"/>
  <c r="C15" i="14"/>
  <c r="C14" i="14"/>
  <c r="D23" i="13"/>
  <c r="D22" i="13"/>
  <c r="D21" i="13"/>
  <c r="D20" i="13"/>
  <c r="D19" i="13"/>
  <c r="D18" i="13"/>
  <c r="D17" i="13"/>
  <c r="D16" i="13"/>
  <c r="D15" i="13"/>
  <c r="D14" i="13"/>
  <c r="C23" i="13"/>
  <c r="C22" i="13"/>
  <c r="C21" i="13"/>
  <c r="C20" i="13"/>
  <c r="C19" i="13"/>
  <c r="C18" i="13"/>
  <c r="C17" i="13"/>
  <c r="C16" i="13"/>
  <c r="C15" i="13"/>
  <c r="C14" i="13"/>
  <c r="D23" i="12"/>
  <c r="D22" i="12"/>
  <c r="D21" i="12"/>
  <c r="D20" i="12"/>
  <c r="D19" i="12"/>
  <c r="D18" i="12"/>
  <c r="D17" i="12"/>
  <c r="D16" i="12"/>
  <c r="D15" i="12"/>
  <c r="D14" i="12"/>
  <c r="C23" i="12"/>
  <c r="C22" i="12"/>
  <c r="C21" i="12"/>
  <c r="C20" i="12"/>
  <c r="C19" i="12"/>
  <c r="C18" i="12"/>
  <c r="C17" i="12"/>
  <c r="C16" i="12"/>
  <c r="C15" i="12"/>
  <c r="C14" i="12"/>
  <c r="D23" i="11"/>
  <c r="D22" i="11"/>
  <c r="D21" i="11"/>
  <c r="D20" i="11"/>
  <c r="D19" i="11"/>
  <c r="D18" i="11"/>
  <c r="D17" i="11"/>
  <c r="D16" i="11"/>
  <c r="D15" i="11"/>
  <c r="D14" i="11"/>
  <c r="C23" i="11"/>
  <c r="C23" i="68" s="1"/>
  <c r="C22" i="11"/>
  <c r="C22" i="68" s="1"/>
  <c r="C21" i="11"/>
  <c r="C21" i="68" s="1"/>
  <c r="C20" i="11"/>
  <c r="C20" i="68" s="1"/>
  <c r="C19" i="11"/>
  <c r="C19" i="68" s="1"/>
  <c r="C18" i="11"/>
  <c r="C18" i="68" s="1"/>
  <c r="C17" i="11"/>
  <c r="C17" i="68" s="1"/>
  <c r="C16" i="11"/>
  <c r="C16" i="68" s="1"/>
  <c r="C15" i="11"/>
  <c r="C15" i="68" s="1"/>
  <c r="C14" i="11"/>
  <c r="C14" i="68" s="1"/>
  <c r="M22" i="11"/>
  <c r="M22" i="68" s="1"/>
  <c r="B30" i="68" s="1"/>
  <c r="L22" i="11"/>
  <c r="D12" i="7"/>
  <c r="E12" i="7"/>
  <c r="L22" i="68" l="1"/>
  <c r="A11" i="11"/>
  <c r="E14" i="68"/>
  <c r="C14" i="3" s="1"/>
  <c r="C26" i="68"/>
  <c r="F21" i="7"/>
  <c r="F17" i="7"/>
  <c r="F19" i="7"/>
  <c r="H20" i="7" s="1" a="1"/>
  <c r="H20" i="7" s="1"/>
  <c r="F23" i="7"/>
  <c r="F20" i="7"/>
  <c r="F16" i="7"/>
  <c r="F15" i="7"/>
  <c r="H16" i="7" s="1" a="1"/>
  <c r="H16" i="7" s="1"/>
  <c r="F14" i="7"/>
  <c r="H15" i="7" s="1" a="1"/>
  <c r="H15" i="7" s="1"/>
  <c r="F18" i="7"/>
  <c r="F22" i="7"/>
  <c r="H19" i="7" l="1" a="1"/>
  <c r="H19" i="7" s="1"/>
  <c r="H17" i="7" a="1"/>
  <c r="H17" i="7" s="1"/>
  <c r="D17" i="9" s="1"/>
  <c r="H21" i="7" a="1"/>
  <c r="H21" i="7" s="1"/>
  <c r="D21" i="10" s="1"/>
  <c r="H23" i="7" a="1"/>
  <c r="H23" i="7" s="1"/>
  <c r="D23" i="9" s="1"/>
  <c r="A23" i="68"/>
  <c r="A22" i="68" s="1"/>
  <c r="A21" i="68" s="1"/>
  <c r="A20" i="68" s="1"/>
  <c r="A19" i="68" s="1"/>
  <c r="A18" i="68" s="1"/>
  <c r="A17" i="68" s="1"/>
  <c r="A16" i="68" s="1"/>
  <c r="A15" i="68" s="1"/>
  <c r="A14" i="68" s="1"/>
  <c r="A11" i="68"/>
  <c r="D16" i="9"/>
  <c r="D16" i="8"/>
  <c r="D16" i="68"/>
  <c r="E16" i="68" s="1"/>
  <c r="C16" i="3" s="1"/>
  <c r="D16" i="10"/>
  <c r="D17" i="8"/>
  <c r="D17" i="68"/>
  <c r="E17" i="68" s="1"/>
  <c r="C17" i="3" s="1"/>
  <c r="D15" i="10"/>
  <c r="D15" i="9"/>
  <c r="D15" i="8"/>
  <c r="D15" i="68"/>
  <c r="E15" i="68" s="1"/>
  <c r="D20" i="10"/>
  <c r="D20" i="68"/>
  <c r="E20" i="68" s="1"/>
  <c r="C20" i="3" s="1"/>
  <c r="D20" i="9"/>
  <c r="D20" i="8"/>
  <c r="H18" i="7" a="1"/>
  <c r="H18" i="7" s="1"/>
  <c r="D19" i="8"/>
  <c r="D19" i="10"/>
  <c r="D19" i="68"/>
  <c r="E19" i="68" s="1"/>
  <c r="C19" i="3" s="1"/>
  <c r="D19" i="9"/>
  <c r="H22" i="7" a="1"/>
  <c r="H22" i="7" s="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D21" i="8" l="1"/>
  <c r="D17" i="10"/>
  <c r="D21" i="9"/>
  <c r="D21" i="68"/>
  <c r="E21" i="68" s="1"/>
  <c r="C21" i="3" s="1"/>
  <c r="D23" i="68"/>
  <c r="E23" i="68" s="1"/>
  <c r="C23" i="3" s="1"/>
  <c r="D23" i="8"/>
  <c r="D23" i="10"/>
  <c r="C15" i="3"/>
  <c r="D22" i="10"/>
  <c r="D22" i="68"/>
  <c r="E22" i="68" s="1"/>
  <c r="C22" i="3" s="1"/>
  <c r="D22" i="9"/>
  <c r="D22" i="8"/>
  <c r="D18" i="8"/>
  <c r="D18" i="68"/>
  <c r="E18" i="68" s="1"/>
  <c r="C18" i="3" s="1"/>
  <c r="D18" i="9"/>
  <c r="D18" i="10"/>
  <c r="B68" i="22"/>
  <c r="E56" i="22"/>
  <c r="D56" i="22"/>
  <c r="C56" i="22"/>
  <c r="E55" i="22"/>
  <c r="D55" i="22"/>
  <c r="C55" i="22"/>
  <c r="E54" i="22"/>
  <c r="D54" i="22"/>
  <c r="C54" i="22"/>
  <c r="E53" i="22"/>
  <c r="D53" i="22"/>
  <c r="C53" i="22"/>
  <c r="E52" i="22"/>
  <c r="D52" i="22"/>
  <c r="C52" i="22"/>
  <c r="E51" i="22"/>
  <c r="D51" i="22"/>
  <c r="C51" i="22"/>
  <c r="E50" i="22"/>
  <c r="D50" i="22"/>
  <c r="C50" i="22"/>
  <c r="E49" i="22"/>
  <c r="D49" i="22"/>
  <c r="C49" i="22"/>
  <c r="E48" i="22"/>
  <c r="D48" i="22"/>
  <c r="C48" i="22"/>
  <c r="E47" i="22"/>
  <c r="D47" i="22"/>
  <c r="C47" i="22"/>
  <c r="E46" i="22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D41" i="22"/>
  <c r="C41" i="22"/>
  <c r="E40" i="22"/>
  <c r="D40" i="22"/>
  <c r="C40" i="22"/>
  <c r="E39" i="22"/>
  <c r="D39" i="22"/>
  <c r="C39" i="22"/>
  <c r="E38" i="22"/>
  <c r="D38" i="22"/>
  <c r="C38" i="22"/>
  <c r="E37" i="22"/>
  <c r="D37" i="22"/>
  <c r="C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E29" i="22"/>
  <c r="D29" i="22"/>
  <c r="C29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D16" i="22"/>
  <c r="C16" i="22"/>
  <c r="E15" i="22"/>
  <c r="D15" i="22"/>
  <c r="C15" i="22"/>
  <c r="E14" i="22"/>
  <c r="D14" i="22"/>
  <c r="C14" i="22"/>
  <c r="E13" i="22"/>
  <c r="D13" i="22"/>
  <c r="C13" i="22"/>
  <c r="D64" i="22" l="1"/>
  <c r="C64" i="22"/>
  <c r="C58" i="22"/>
  <c r="D60" i="22"/>
  <c r="E26" i="68"/>
  <c r="C60" i="22"/>
  <c r="D58" i="22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D33" i="34"/>
  <c r="D32" i="34"/>
  <c r="D31" i="34"/>
  <c r="D30" i="34"/>
  <c r="D29" i="34"/>
  <c r="D28" i="34"/>
  <c r="D27" i="34"/>
  <c r="D26" i="34"/>
  <c r="D25" i="34"/>
  <c r="D24" i="34"/>
  <c r="D23" i="34"/>
  <c r="C54" i="34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A54" i="34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D33" i="33"/>
  <c r="D32" i="33"/>
  <c r="D31" i="33"/>
  <c r="D30" i="33"/>
  <c r="D29" i="33"/>
  <c r="D28" i="33"/>
  <c r="D27" i="33"/>
  <c r="D26" i="33"/>
  <c r="D25" i="33"/>
  <c r="D24" i="33"/>
  <c r="D23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E33" i="33" s="1"/>
  <c r="C32" i="33"/>
  <c r="C31" i="33"/>
  <c r="E31" i="33" s="1"/>
  <c r="C30" i="33"/>
  <c r="E30" i="33" s="1"/>
  <c r="C29" i="33"/>
  <c r="E29" i="33" s="1"/>
  <c r="C28" i="33"/>
  <c r="E28" i="33" s="1"/>
  <c r="C27" i="33"/>
  <c r="E27" i="33" s="1"/>
  <c r="C26" i="33"/>
  <c r="E26" i="33" s="1"/>
  <c r="C25" i="33"/>
  <c r="E25" i="33" s="1"/>
  <c r="C24" i="33"/>
  <c r="E24" i="33" s="1"/>
  <c r="C23" i="33"/>
  <c r="E23" i="33" s="1"/>
  <c r="C22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D33" i="32"/>
  <c r="D32" i="32"/>
  <c r="D31" i="32"/>
  <c r="D30" i="32"/>
  <c r="D29" i="32"/>
  <c r="D28" i="32"/>
  <c r="D27" i="32"/>
  <c r="D26" i="32"/>
  <c r="D25" i="32"/>
  <c r="D24" i="32"/>
  <c r="D23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A54" i="32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D54" i="31"/>
  <c r="D54" i="33" s="1"/>
  <c r="D53" i="31"/>
  <c r="D53" i="34" s="1"/>
  <c r="D52" i="31"/>
  <c r="D52" i="33" s="1"/>
  <c r="D51" i="31"/>
  <c r="D51" i="33" s="1"/>
  <c r="D50" i="31"/>
  <c r="D50" i="33" s="1"/>
  <c r="D49" i="31"/>
  <c r="D49" i="33" s="1"/>
  <c r="D48" i="31"/>
  <c r="D48" i="34" s="1"/>
  <c r="D47" i="31"/>
  <c r="D47" i="33" s="1"/>
  <c r="D46" i="31"/>
  <c r="D46" i="34" s="1"/>
  <c r="D45" i="31"/>
  <c r="D45" i="34" s="1"/>
  <c r="D44" i="31"/>
  <c r="D44" i="33" s="1"/>
  <c r="D43" i="31"/>
  <c r="D43" i="33" s="1"/>
  <c r="D42" i="31"/>
  <c r="D42" i="33" s="1"/>
  <c r="D41" i="31"/>
  <c r="D41" i="33" s="1"/>
  <c r="D40" i="31"/>
  <c r="D40" i="34" s="1"/>
  <c r="D39" i="31"/>
  <c r="D39" i="33" s="1"/>
  <c r="D38" i="31"/>
  <c r="D38" i="34" s="1"/>
  <c r="D37" i="31"/>
  <c r="D37" i="34" s="1"/>
  <c r="D36" i="31"/>
  <c r="D36" i="33" s="1"/>
  <c r="D35" i="31"/>
  <c r="D35" i="33" s="1"/>
  <c r="D34" i="31"/>
  <c r="D34" i="33" s="1"/>
  <c r="D32" i="31"/>
  <c r="D33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A54" i="31"/>
  <c r="L56" i="31"/>
  <c r="K56" i="31"/>
  <c r="A11" i="31" s="1"/>
  <c r="T49" i="31"/>
  <c r="T50" i="31"/>
  <c r="T51" i="31"/>
  <c r="B39" i="66"/>
  <c r="B39" i="65"/>
  <c r="B39" i="37"/>
  <c r="B39" i="35"/>
  <c r="C14" i="35"/>
  <c r="C14" i="37" s="1"/>
  <c r="C15" i="35"/>
  <c r="C16" i="35"/>
  <c r="C16" i="66" s="1"/>
  <c r="C17" i="35"/>
  <c r="C17" i="37" s="1"/>
  <c r="C18" i="35"/>
  <c r="C18" i="37" s="1"/>
  <c r="C19" i="35"/>
  <c r="C19" i="66" s="1"/>
  <c r="C20" i="35"/>
  <c r="C20" i="65" s="1"/>
  <c r="C21" i="35"/>
  <c r="C21" i="37" s="1"/>
  <c r="C22" i="35"/>
  <c r="C22" i="65" s="1"/>
  <c r="C23" i="35"/>
  <c r="C23" i="37" s="1"/>
  <c r="C24" i="35"/>
  <c r="C24" i="66" s="1"/>
  <c r="C25" i="35"/>
  <c r="C25" i="65" s="1"/>
  <c r="C26" i="35"/>
  <c r="C26" i="37" s="1"/>
  <c r="C27" i="35"/>
  <c r="C27" i="66" s="1"/>
  <c r="C28" i="35"/>
  <c r="C28" i="66" s="1"/>
  <c r="C15" i="37"/>
  <c r="C18" i="66"/>
  <c r="C18" i="65" l="1"/>
  <c r="C19" i="65"/>
  <c r="C22" i="66"/>
  <c r="E32" i="33"/>
  <c r="C14" i="66"/>
  <c r="C22" i="37"/>
  <c r="C14" i="65"/>
  <c r="C26" i="65"/>
  <c r="A63" i="31"/>
  <c r="C19" i="37"/>
  <c r="C27" i="37"/>
  <c r="F56" i="31"/>
  <c r="C28" i="37"/>
  <c r="D37" i="33"/>
  <c r="E37" i="33" s="1"/>
  <c r="D45" i="32"/>
  <c r="D48" i="32"/>
  <c r="D40" i="33"/>
  <c r="E40" i="33" s="1"/>
  <c r="C25" i="37"/>
  <c r="C24" i="65"/>
  <c r="C25" i="66"/>
  <c r="C56" i="32"/>
  <c r="D53" i="32"/>
  <c r="D45" i="33"/>
  <c r="E45" i="33" s="1"/>
  <c r="C26" i="66"/>
  <c r="F56" i="32"/>
  <c r="D48" i="33"/>
  <c r="E48" i="33" s="1"/>
  <c r="F56" i="34"/>
  <c r="C56" i="31"/>
  <c r="C56" i="33"/>
  <c r="D53" i="33"/>
  <c r="E53" i="33" s="1"/>
  <c r="F56" i="33"/>
  <c r="C17" i="65"/>
  <c r="C17" i="66"/>
  <c r="D37" i="32"/>
  <c r="D40" i="32"/>
  <c r="C56" i="34"/>
  <c r="D54" i="34"/>
  <c r="E54" i="34" s="1"/>
  <c r="G54" i="34" s="1"/>
  <c r="F54" i="30" s="1"/>
  <c r="E54" i="31"/>
  <c r="D38" i="32"/>
  <c r="D46" i="32"/>
  <c r="D54" i="32"/>
  <c r="E54" i="32" s="1"/>
  <c r="G54" i="32" s="1"/>
  <c r="D54" i="30" s="1"/>
  <c r="E54" i="33"/>
  <c r="G54" i="33" s="1"/>
  <c r="E54" i="30" s="1"/>
  <c r="D38" i="33"/>
  <c r="E38" i="33" s="1"/>
  <c r="D46" i="33"/>
  <c r="E46" i="33" s="1"/>
  <c r="D39" i="34"/>
  <c r="D47" i="34"/>
  <c r="C20" i="66"/>
  <c r="D39" i="32"/>
  <c r="D47" i="32"/>
  <c r="E39" i="33"/>
  <c r="E47" i="33"/>
  <c r="D41" i="34"/>
  <c r="D49" i="34"/>
  <c r="C16" i="65"/>
  <c r="C20" i="37"/>
  <c r="C27" i="65"/>
  <c r="D41" i="32"/>
  <c r="D49" i="32"/>
  <c r="E41" i="33"/>
  <c r="E49" i="33"/>
  <c r="D34" i="34"/>
  <c r="D42" i="34"/>
  <c r="D50" i="34"/>
  <c r="D34" i="32"/>
  <c r="D42" i="32"/>
  <c r="D50" i="32"/>
  <c r="E34" i="33"/>
  <c r="E42" i="33"/>
  <c r="E50" i="33"/>
  <c r="D35" i="34"/>
  <c r="D43" i="34"/>
  <c r="D51" i="34"/>
  <c r="D35" i="32"/>
  <c r="D43" i="32"/>
  <c r="D51" i="32"/>
  <c r="E35" i="33"/>
  <c r="E43" i="33"/>
  <c r="E51" i="33"/>
  <c r="D36" i="34"/>
  <c r="D44" i="34"/>
  <c r="D52" i="34"/>
  <c r="C28" i="65"/>
  <c r="D36" i="32"/>
  <c r="D44" i="32"/>
  <c r="D52" i="32"/>
  <c r="E36" i="33"/>
  <c r="E44" i="33"/>
  <c r="E52" i="33"/>
  <c r="C21" i="66"/>
  <c r="C24" i="37"/>
  <c r="C16" i="37"/>
  <c r="C21" i="65"/>
  <c r="C15" i="66"/>
  <c r="C23" i="66"/>
  <c r="C15" i="65"/>
  <c r="C23" i="65"/>
  <c r="E70" i="29" l="1"/>
  <c r="G54" i="31"/>
  <c r="C54" i="30" s="1"/>
  <c r="C23" i="44"/>
  <c r="C22" i="44"/>
  <c r="C21" i="44"/>
  <c r="C20" i="44"/>
  <c r="C19" i="44"/>
  <c r="C18" i="44"/>
  <c r="C17" i="44"/>
  <c r="C16" i="44"/>
  <c r="C15" i="44"/>
  <c r="C14" i="44"/>
  <c r="C23" i="43"/>
  <c r="C22" i="43"/>
  <c r="C21" i="43"/>
  <c r="C20" i="43"/>
  <c r="C19" i="43"/>
  <c r="C18" i="43"/>
  <c r="C17" i="43"/>
  <c r="C16" i="43"/>
  <c r="C15" i="43"/>
  <c r="C14" i="43"/>
  <c r="C23" i="42"/>
  <c r="C22" i="42"/>
  <c r="C21" i="42"/>
  <c r="C20" i="42"/>
  <c r="C19" i="42"/>
  <c r="C18" i="42"/>
  <c r="C17" i="42"/>
  <c r="C16" i="42"/>
  <c r="C15" i="42"/>
  <c r="C14" i="42"/>
  <c r="C23" i="41"/>
  <c r="C22" i="41"/>
  <c r="C21" i="41"/>
  <c r="C20" i="41"/>
  <c r="C19" i="41"/>
  <c r="C18" i="41"/>
  <c r="C17" i="41"/>
  <c r="C16" i="41"/>
  <c r="C15" i="41"/>
  <c r="C14" i="41"/>
  <c r="L23" i="41" l="1"/>
  <c r="B55" i="46"/>
  <c r="B54" i="46"/>
  <c r="H40" i="46"/>
  <c r="F35" i="46"/>
  <c r="E35" i="46"/>
  <c r="D35" i="46"/>
  <c r="E26" i="46"/>
  <c r="D26" i="46"/>
  <c r="F22" i="46"/>
  <c r="E22" i="46"/>
  <c r="D22" i="46"/>
  <c r="F18" i="46"/>
  <c r="E18" i="46"/>
  <c r="D18" i="46"/>
  <c r="F15" i="46"/>
  <c r="E15" i="46"/>
  <c r="D15" i="46"/>
  <c r="F14" i="46"/>
  <c r="E14" i="46"/>
  <c r="D14" i="46"/>
  <c r="M11" i="46"/>
  <c r="A23" i="41" l="1"/>
  <c r="A11" i="41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C29" i="45"/>
  <c r="C28" i="45"/>
  <c r="C27" i="45"/>
  <c r="C26" i="45"/>
  <c r="C25" i="45"/>
  <c r="C24" i="45"/>
  <c r="C23" i="45"/>
  <c r="C22" i="45"/>
  <c r="C21" i="45"/>
  <c r="C20" i="45"/>
  <c r="C19" i="45"/>
  <c r="C18" i="45"/>
  <c r="C17" i="45"/>
  <c r="C16" i="45"/>
  <c r="C15" i="45"/>
  <c r="C14" i="45"/>
  <c r="C31" i="45" l="1"/>
  <c r="E31" i="45"/>
  <c r="D29" i="45"/>
  <c r="D23" i="44" s="1"/>
  <c r="F43" i="48" l="1"/>
  <c r="E43" i="48"/>
  <c r="D43" i="48"/>
  <c r="C43" i="48"/>
  <c r="G43" i="48" l="1"/>
  <c r="M43" i="48" l="1"/>
  <c r="B49" i="48"/>
  <c r="F42" i="48"/>
  <c r="D42" i="48"/>
  <c r="C42" i="48"/>
  <c r="F41" i="48"/>
  <c r="D41" i="48"/>
  <c r="C41" i="48"/>
  <c r="F40" i="48"/>
  <c r="D40" i="48"/>
  <c r="C40" i="48"/>
  <c r="F39" i="48"/>
  <c r="D39" i="48"/>
  <c r="C39" i="48"/>
  <c r="F38" i="48"/>
  <c r="D38" i="48"/>
  <c r="C38" i="48"/>
  <c r="F37" i="48"/>
  <c r="D37" i="48"/>
  <c r="C37" i="48"/>
  <c r="F36" i="48"/>
  <c r="D36" i="48"/>
  <c r="C36" i="48"/>
  <c r="F35" i="48"/>
  <c r="D35" i="48"/>
  <c r="C35" i="48"/>
  <c r="F34" i="48"/>
  <c r="D34" i="48"/>
  <c r="C34" i="48"/>
  <c r="F33" i="48"/>
  <c r="D33" i="48"/>
  <c r="C33" i="48"/>
  <c r="F32" i="48"/>
  <c r="D32" i="48"/>
  <c r="C32" i="48"/>
  <c r="F31" i="48"/>
  <c r="D31" i="48"/>
  <c r="C31" i="48"/>
  <c r="F30" i="48"/>
  <c r="D30" i="48"/>
  <c r="C30" i="48"/>
  <c r="F29" i="48"/>
  <c r="D29" i="48"/>
  <c r="C29" i="48"/>
  <c r="F28" i="48"/>
  <c r="D28" i="48"/>
  <c r="C28" i="48"/>
  <c r="F27" i="48"/>
  <c r="D27" i="48"/>
  <c r="C27" i="48"/>
  <c r="F26" i="48"/>
  <c r="D26" i="48"/>
  <c r="C26" i="48"/>
  <c r="F25" i="48"/>
  <c r="D25" i="48"/>
  <c r="C25" i="48"/>
  <c r="F24" i="48"/>
  <c r="D24" i="48"/>
  <c r="C24" i="48"/>
  <c r="F23" i="48"/>
  <c r="D23" i="48"/>
  <c r="C23" i="48"/>
  <c r="F22" i="48"/>
  <c r="D22" i="48"/>
  <c r="C22" i="48"/>
  <c r="F21" i="48"/>
  <c r="D21" i="48"/>
  <c r="C21" i="48"/>
  <c r="F20" i="48"/>
  <c r="D20" i="48"/>
  <c r="C20" i="48"/>
  <c r="F19" i="48"/>
  <c r="D19" i="48"/>
  <c r="C19" i="48"/>
  <c r="F18" i="48"/>
  <c r="D18" i="48"/>
  <c r="C18" i="48"/>
  <c r="F17" i="48"/>
  <c r="D17" i="48"/>
  <c r="C17" i="48"/>
  <c r="F16" i="48"/>
  <c r="D16" i="48"/>
  <c r="C16" i="48"/>
  <c r="F15" i="48"/>
  <c r="D15" i="48"/>
  <c r="C15" i="48"/>
  <c r="F14" i="48"/>
  <c r="D14" i="48"/>
  <c r="C14" i="48"/>
  <c r="B46" i="46"/>
  <c r="A46" i="46"/>
  <c r="B44" i="46"/>
  <c r="A44" i="46"/>
  <c r="B42" i="46"/>
  <c r="A42" i="46"/>
  <c r="B40" i="46"/>
  <c r="A40" i="46"/>
  <c r="F45" i="48" l="1"/>
  <c r="C45" i="48"/>
  <c r="D45" i="48"/>
  <c r="N7" i="40"/>
  <c r="C68" i="17" l="1"/>
  <c r="E35" i="32" l="1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1"/>
  <c r="E53" i="34" l="1"/>
  <c r="G53" i="34" s="1"/>
  <c r="F53" i="30" s="1"/>
  <c r="E53" i="32"/>
  <c r="G53" i="32" s="1"/>
  <c r="D53" i="30" s="1"/>
  <c r="G53" i="33"/>
  <c r="E53" i="30" s="1"/>
  <c r="G53" i="31"/>
  <c r="C53" i="30" s="1"/>
  <c r="E69" i="29" l="1"/>
  <c r="D28" i="45" l="1"/>
  <c r="D22" i="44" s="1"/>
  <c r="L57" i="33"/>
  <c r="M47" i="29"/>
  <c r="L57" i="32"/>
  <c r="L57" i="34"/>
  <c r="K57" i="33"/>
  <c r="A11" i="33" s="1"/>
  <c r="L9" i="28"/>
  <c r="A11" i="28" s="1"/>
  <c r="K57" i="34"/>
  <c r="A11" i="34" s="1"/>
  <c r="K57" i="32"/>
  <c r="A11" i="32" s="1"/>
  <c r="L47" i="29"/>
  <c r="A10" i="29" s="1"/>
  <c r="K52" i="30"/>
  <c r="A11" i="30" s="1"/>
  <c r="A64" i="32" l="1"/>
  <c r="E42" i="48"/>
  <c r="G42" i="48" s="1"/>
  <c r="M42" i="48" s="1"/>
  <c r="N10" i="1" l="1"/>
  <c r="N11" i="1"/>
  <c r="N9" i="1"/>
  <c r="B14" i="62" l="1"/>
  <c r="G27" i="62"/>
  <c r="F27" i="62"/>
  <c r="D49" i="62"/>
  <c r="D48" i="62"/>
  <c r="D47" i="62"/>
  <c r="D46" i="62"/>
  <c r="D40" i="62"/>
  <c r="D39" i="62"/>
  <c r="D38" i="62"/>
  <c r="D37" i="62"/>
  <c r="B37" i="62"/>
  <c r="B32" i="62"/>
  <c r="D31" i="62"/>
  <c r="B31" i="62"/>
  <c r="D30" i="62"/>
  <c r="B30" i="62"/>
  <c r="D29" i="62"/>
  <c r="B29" i="62"/>
  <c r="D28" i="62"/>
  <c r="B28" i="62"/>
  <c r="D27" i="62"/>
  <c r="B27" i="62"/>
  <c r="D26" i="62"/>
  <c r="B26" i="62"/>
  <c r="B25" i="62"/>
  <c r="D24" i="62"/>
  <c r="D23" i="62"/>
  <c r="D22" i="62"/>
  <c r="D21" i="62"/>
  <c r="D20" i="62"/>
  <c r="B20" i="62"/>
  <c r="D19" i="62"/>
  <c r="B19" i="62"/>
  <c r="D18" i="62"/>
  <c r="B18" i="62"/>
  <c r="B16" i="62"/>
  <c r="D15" i="62"/>
  <c r="B15" i="62"/>
  <c r="D14" i="62"/>
  <c r="D13" i="62"/>
  <c r="B13" i="62"/>
  <c r="D12" i="62"/>
  <c r="B12" i="62"/>
  <c r="D11" i="62"/>
  <c r="B11" i="62"/>
  <c r="D10" i="62"/>
  <c r="B44" i="62"/>
  <c r="B43" i="62"/>
  <c r="B42" i="62"/>
  <c r="A12" i="45" l="1"/>
  <c r="B26" i="27" l="1"/>
  <c r="B41" i="66"/>
  <c r="B41" i="65"/>
  <c r="B41" i="37"/>
  <c r="G52" i="32" l="1"/>
  <c r="D52" i="30" s="1"/>
  <c r="E52" i="31"/>
  <c r="E52" i="34"/>
  <c r="E33" i="66"/>
  <c r="E12" i="66"/>
  <c r="B42" i="66" s="1"/>
  <c r="D12" i="66"/>
  <c r="C12" i="66"/>
  <c r="A12" i="66"/>
  <c r="A3" i="66"/>
  <c r="A2" i="66"/>
  <c r="A1" i="66"/>
  <c r="E33" i="65"/>
  <c r="E12" i="65"/>
  <c r="B42" i="65" s="1"/>
  <c r="D12" i="65"/>
  <c r="C12" i="65"/>
  <c r="A12" i="65"/>
  <c r="A3" i="65"/>
  <c r="A2" i="65"/>
  <c r="A1" i="65"/>
  <c r="G52" i="33" l="1"/>
  <c r="E52" i="30" s="1"/>
  <c r="G52" i="34"/>
  <c r="F52" i="30" s="1"/>
  <c r="G52" i="31"/>
  <c r="C52" i="30" s="1"/>
  <c r="E68" i="29" l="1"/>
  <c r="C27" i="28" s="1"/>
  <c r="D27" i="45"/>
  <c r="D21" i="44" s="1"/>
  <c r="E23" i="44" l="1"/>
  <c r="D23" i="42"/>
  <c r="D23" i="41"/>
  <c r="D23" i="43"/>
  <c r="T48" i="31" l="1"/>
  <c r="D26" i="45" l="1"/>
  <c r="D20" i="44" s="1"/>
  <c r="F11" i="46"/>
  <c r="E11" i="46" l="1"/>
  <c r="D11" i="46" s="1"/>
  <c r="G11" i="46"/>
  <c r="D22" i="42"/>
  <c r="D22" i="43"/>
  <c r="D22" i="41"/>
  <c r="D12" i="28" l="1"/>
  <c r="A14" i="29" l="1"/>
  <c r="A15" i="29" l="1"/>
  <c r="A16" i="29" s="1"/>
  <c r="AX36" i="31" l="1"/>
  <c r="AW37" i="31"/>
  <c r="AW35" i="31"/>
  <c r="AW36" i="31" s="1"/>
  <c r="AV36" i="31"/>
  <c r="AV35" i="31" s="1"/>
  <c r="AU33" i="31"/>
  <c r="AU34" i="31" s="1"/>
  <c r="AT34" i="31"/>
  <c r="AT33" i="31" s="1"/>
  <c r="X13" i="3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BB13" i="31" s="1"/>
  <c r="BC13" i="31" s="1"/>
  <c r="BD13" i="31" s="1"/>
  <c r="BE13" i="31" s="1"/>
  <c r="BF13" i="31" s="1"/>
  <c r="BG13" i="31" s="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15" i="31"/>
  <c r="BG53" i="31" l="1"/>
  <c r="BG54" i="31" s="1"/>
  <c r="AY53" i="31"/>
  <c r="AY54" i="31" s="1"/>
  <c r="AQ53" i="31"/>
  <c r="AQ54" i="31" s="1"/>
  <c r="AI53" i="31"/>
  <c r="AI54" i="31" s="1"/>
  <c r="AA53" i="31"/>
  <c r="AA54" i="31" s="1"/>
  <c r="BK53" i="31"/>
  <c r="BK54" i="31" s="1"/>
  <c r="V51" i="31" s="1"/>
  <c r="AE53" i="31"/>
  <c r="AE54" i="31" s="1"/>
  <c r="V18" i="31" s="1"/>
  <c r="AL53" i="31"/>
  <c r="AL54" i="31" s="1"/>
  <c r="V25" i="31" s="1"/>
  <c r="AK53" i="31"/>
  <c r="AK54" i="31" s="1"/>
  <c r="BF53" i="31"/>
  <c r="BF54" i="31" s="1"/>
  <c r="AP53" i="31"/>
  <c r="AP54" i="31" s="1"/>
  <c r="AH53" i="31"/>
  <c r="AH54" i="31" s="1"/>
  <c r="Z53" i="31"/>
  <c r="Z54" i="31" s="1"/>
  <c r="BC53" i="31"/>
  <c r="BC54" i="31" s="1"/>
  <c r="V43" i="31" s="1"/>
  <c r="W53" i="31"/>
  <c r="W54" i="31" s="1"/>
  <c r="AT53" i="31"/>
  <c r="AT54" i="31" s="1"/>
  <c r="AS53" i="31"/>
  <c r="AS54" i="31" s="1"/>
  <c r="BE53" i="31"/>
  <c r="BE54" i="31" s="1"/>
  <c r="AW53" i="31"/>
  <c r="AW54" i="31" s="1"/>
  <c r="AO53" i="31"/>
  <c r="AO54" i="31" s="1"/>
  <c r="AG53" i="31"/>
  <c r="AG54" i="31" s="1"/>
  <c r="Y53" i="31"/>
  <c r="Y54" i="31" s="1"/>
  <c r="AU53" i="31"/>
  <c r="AU54" i="31" s="1"/>
  <c r="V35" i="31" s="1"/>
  <c r="BJ53" i="31"/>
  <c r="BJ54" i="31" s="1"/>
  <c r="AD53" i="31"/>
  <c r="AD54" i="31" s="1"/>
  <c r="BD53" i="31"/>
  <c r="BD54" i="31" s="1"/>
  <c r="AV53" i="31"/>
  <c r="AV54" i="31" s="1"/>
  <c r="AN53" i="31"/>
  <c r="AN54" i="31" s="1"/>
  <c r="AF53" i="31"/>
  <c r="AF54" i="31" s="1"/>
  <c r="X53" i="31"/>
  <c r="X54" i="31" s="1"/>
  <c r="AM53" i="31"/>
  <c r="AM54" i="31" s="1"/>
  <c r="V26" i="31" s="1"/>
  <c r="BB53" i="31"/>
  <c r="BB54" i="31" s="1"/>
  <c r="BI53" i="31"/>
  <c r="BI54" i="31" s="1"/>
  <c r="BA53" i="31"/>
  <c r="BA54" i="31" s="1"/>
  <c r="AC53" i="31"/>
  <c r="AC54" i="31" s="1"/>
  <c r="BH53" i="31"/>
  <c r="BH54" i="31" s="1"/>
  <c r="V48" i="31" s="1"/>
  <c r="AZ53" i="31"/>
  <c r="AZ54" i="31" s="1"/>
  <c r="AR53" i="31"/>
  <c r="AR54" i="31" s="1"/>
  <c r="AJ53" i="31"/>
  <c r="AJ54" i="31" s="1"/>
  <c r="V23" i="31" s="1"/>
  <c r="AB53" i="31"/>
  <c r="AB54" i="31" s="1"/>
  <c r="V15" i="31" s="1"/>
  <c r="D19" i="31" s="1"/>
  <c r="V19" i="31"/>
  <c r="V36" i="31"/>
  <c r="V20" i="31"/>
  <c r="V28" i="31"/>
  <c r="V37" i="31"/>
  <c r="V45" i="31"/>
  <c r="V29" i="31"/>
  <c r="V46" i="31"/>
  <c r="V14" i="31"/>
  <c r="K14" i="31" s="1"/>
  <c r="V22" i="31"/>
  <c r="V30" i="31"/>
  <c r="V39" i="31"/>
  <c r="V31" i="31"/>
  <c r="V40" i="31"/>
  <c r="V16" i="31"/>
  <c r="V24" i="31"/>
  <c r="V49" i="31"/>
  <c r="V17" i="31"/>
  <c r="V50" i="31"/>
  <c r="V41" i="31"/>
  <c r="V44" i="31"/>
  <c r="V21" i="31"/>
  <c r="V47" i="31"/>
  <c r="V32" i="31"/>
  <c r="V42" i="31"/>
  <c r="V27" i="31"/>
  <c r="AX53" i="31"/>
  <c r="AX54" i="31" s="1"/>
  <c r="V38" i="31" l="1"/>
  <c r="E13" i="29"/>
  <c r="G13" i="29" s="1"/>
  <c r="E14" i="29"/>
  <c r="G14" i="29" s="1"/>
  <c r="E16" i="29"/>
  <c r="G16" i="29" s="1"/>
  <c r="E15" i="29"/>
  <c r="E17" i="29"/>
  <c r="E21" i="29"/>
  <c r="D14" i="31"/>
  <c r="E14" i="31" s="1"/>
  <c r="V34" i="31"/>
  <c r="V33" i="31"/>
  <c r="I16" i="15"/>
  <c r="C12" i="28"/>
  <c r="B40" i="28" s="1"/>
  <c r="F12" i="28"/>
  <c r="B44" i="28" s="1"/>
  <c r="G15" i="29" l="1"/>
  <c r="C26" i="14" l="1"/>
  <c r="C39" i="60" l="1"/>
  <c r="A22" i="41"/>
  <c r="P32" i="18" l="1"/>
  <c r="O32" i="18"/>
  <c r="I14" i="15" s="1"/>
  <c r="I17" i="15" s="1"/>
  <c r="N32" i="18" l="1"/>
  <c r="B33" i="35" l="1"/>
  <c r="B24" i="67"/>
  <c r="M11" i="65"/>
  <c r="C11" i="65" s="1"/>
  <c r="M11" i="66"/>
  <c r="C11" i="66" s="1"/>
  <c r="L21" i="43" l="1"/>
  <c r="A23" i="43" l="1"/>
  <c r="A22" i="43" s="1"/>
  <c r="A11" i="43"/>
  <c r="G12" i="30"/>
  <c r="K45" i="60" l="1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E53" i="40"/>
  <c r="C53" i="40" s="1"/>
  <c r="C21" i="18"/>
  <c r="D16" i="18"/>
  <c r="E18" i="18"/>
  <c r="L21" i="44"/>
  <c r="A11" i="44" s="1"/>
  <c r="A11" i="45" s="1"/>
  <c r="M22" i="9"/>
  <c r="L11" i="5"/>
  <c r="A11" i="5" s="1"/>
  <c r="A12" i="32"/>
  <c r="B41" i="35"/>
  <c r="E33" i="37"/>
  <c r="N9" i="20"/>
  <c r="A53" i="20" s="1"/>
  <c r="N53" i="20" s="1"/>
  <c r="N14" i="31"/>
  <c r="O26" i="31" s="1"/>
  <c r="N51" i="17"/>
  <c r="N50" i="17" s="1"/>
  <c r="A52" i="17"/>
  <c r="O52" i="17"/>
  <c r="E12" i="14"/>
  <c r="D12" i="14"/>
  <c r="C12" i="14"/>
  <c r="E12" i="13"/>
  <c r="D12" i="13"/>
  <c r="B31" i="13" s="1"/>
  <c r="C12" i="13"/>
  <c r="E12" i="12"/>
  <c r="D12" i="12"/>
  <c r="C12" i="12"/>
  <c r="E12" i="11"/>
  <c r="D12" i="11"/>
  <c r="C12" i="11"/>
  <c r="D11" i="29"/>
  <c r="A1" i="48"/>
  <c r="A2" i="48"/>
  <c r="A3" i="48"/>
  <c r="A12" i="48"/>
  <c r="C12" i="48"/>
  <c r="D12" i="48"/>
  <c r="E12" i="48"/>
  <c r="F12" i="48"/>
  <c r="B51" i="48" s="1"/>
  <c r="G12" i="48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1" i="46"/>
  <c r="A2" i="46"/>
  <c r="A3" i="46"/>
  <c r="A1" i="45"/>
  <c r="A2" i="45"/>
  <c r="A3" i="45"/>
  <c r="C12" i="45"/>
  <c r="B35" i="45" s="1"/>
  <c r="D12" i="45"/>
  <c r="B36" i="45" s="1"/>
  <c r="E12" i="45"/>
  <c r="A1" i="44"/>
  <c r="A2" i="44"/>
  <c r="A3" i="44"/>
  <c r="A12" i="44"/>
  <c r="C12" i="44"/>
  <c r="B30" i="44" s="1"/>
  <c r="D12" i="44"/>
  <c r="B31" i="44" s="1"/>
  <c r="E12" i="44"/>
  <c r="A1" i="43"/>
  <c r="A2" i="43"/>
  <c r="A3" i="43"/>
  <c r="A12" i="43"/>
  <c r="C12" i="43"/>
  <c r="B30" i="43" s="1"/>
  <c r="D12" i="43"/>
  <c r="E12" i="43"/>
  <c r="A1" i="42"/>
  <c r="A2" i="42"/>
  <c r="A3" i="42"/>
  <c r="A12" i="42"/>
  <c r="C12" i="42"/>
  <c r="B30" i="42" s="1"/>
  <c r="D12" i="42"/>
  <c r="B31" i="42" s="1"/>
  <c r="E12" i="42"/>
  <c r="A1" i="41"/>
  <c r="A2" i="41"/>
  <c r="A3" i="41"/>
  <c r="A12" i="41"/>
  <c r="C12" i="41"/>
  <c r="D12" i="41"/>
  <c r="B31" i="41" s="1"/>
  <c r="E12" i="41"/>
  <c r="A1" i="40"/>
  <c r="A2" i="40"/>
  <c r="A3" i="40"/>
  <c r="A4" i="40"/>
  <c r="B45" i="62" s="1"/>
  <c r="A12" i="40"/>
  <c r="E12" i="40" s="1"/>
  <c r="C12" i="40"/>
  <c r="G12" i="40" s="1"/>
  <c r="A1" i="37"/>
  <c r="A2" i="37"/>
  <c r="A3" i="37"/>
  <c r="A12" i="37"/>
  <c r="C12" i="37"/>
  <c r="D12" i="37"/>
  <c r="E12" i="37"/>
  <c r="A1" i="35"/>
  <c r="A2" i="35"/>
  <c r="A3" i="35"/>
  <c r="A12" i="35"/>
  <c r="C12" i="35"/>
  <c r="D12" i="35"/>
  <c r="E12" i="35"/>
  <c r="B42" i="35" s="1"/>
  <c r="M33" i="35"/>
  <c r="A1" i="34"/>
  <c r="A2" i="34"/>
  <c r="A3" i="34"/>
  <c r="A12" i="34"/>
  <c r="C12" i="34"/>
  <c r="D12" i="34"/>
  <c r="E12" i="34"/>
  <c r="F12" i="34"/>
  <c r="G12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1" i="33"/>
  <c r="A2" i="33"/>
  <c r="A3" i="33"/>
  <c r="A12" i="33"/>
  <c r="C12" i="33"/>
  <c r="D12" i="33"/>
  <c r="E12" i="33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1" i="32"/>
  <c r="A2" i="32"/>
  <c r="A3" i="32"/>
  <c r="C12" i="32"/>
  <c r="D12" i="32"/>
  <c r="E12" i="32"/>
  <c r="F12" i="32"/>
  <c r="G12" i="32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1" i="31"/>
  <c r="A2" i="31"/>
  <c r="A3" i="31"/>
  <c r="A12" i="31"/>
  <c r="C12" i="31"/>
  <c r="A60" i="31" s="1"/>
  <c r="D12" i="31"/>
  <c r="A61" i="31" s="1"/>
  <c r="E12" i="31"/>
  <c r="F12" i="3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1" i="30"/>
  <c r="A2" i="30"/>
  <c r="A3" i="30"/>
  <c r="A12" i="30"/>
  <c r="C12" i="30"/>
  <c r="B67" i="30" s="1"/>
  <c r="D12" i="30"/>
  <c r="B68" i="30" s="1"/>
  <c r="E12" i="30"/>
  <c r="B69" i="30" s="1"/>
  <c r="F12" i="30"/>
  <c r="B70" i="30" s="1"/>
  <c r="A15" i="30"/>
  <c r="C58" i="30"/>
  <c r="B73" i="30"/>
  <c r="B74" i="30"/>
  <c r="A1" i="29"/>
  <c r="A2" i="29"/>
  <c r="A3" i="29"/>
  <c r="A11" i="29"/>
  <c r="C11" i="29"/>
  <c r="E11" i="29"/>
  <c r="F11" i="29"/>
  <c r="G11" i="29"/>
  <c r="H11" i="29"/>
  <c r="A1" i="28"/>
  <c r="A2" i="28"/>
  <c r="A3" i="28"/>
  <c r="D34" i="62"/>
  <c r="E12" i="28"/>
  <c r="B41" i="28" s="1"/>
  <c r="B43" i="28"/>
  <c r="B45" i="28"/>
  <c r="A1" i="27"/>
  <c r="A2" i="27"/>
  <c r="A3" i="27"/>
  <c r="A12" i="27"/>
  <c r="C12" i="27"/>
  <c r="D12" i="27"/>
  <c r="E12" i="27"/>
  <c r="A1" i="22"/>
  <c r="A2" i="22"/>
  <c r="A3" i="22"/>
  <c r="A11" i="22"/>
  <c r="C11" i="22"/>
  <c r="D11" i="22"/>
  <c r="E11" i="22"/>
  <c r="F11" i="22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1" i="21"/>
  <c r="A2" i="21"/>
  <c r="A3" i="21"/>
  <c r="A12" i="21"/>
  <c r="C12" i="21"/>
  <c r="B63" i="21" s="1"/>
  <c r="D12" i="21"/>
  <c r="E12" i="21"/>
  <c r="F12" i="21"/>
  <c r="G12" i="21"/>
  <c r="H12" i="21"/>
  <c r="I12" i="21"/>
  <c r="J12" i="21"/>
  <c r="K12" i="21"/>
  <c r="A55" i="21"/>
  <c r="A1" i="20"/>
  <c r="A2" i="20"/>
  <c r="A3" i="20"/>
  <c r="A12" i="20"/>
  <c r="C12" i="20"/>
  <c r="D12" i="20"/>
  <c r="E12" i="20"/>
  <c r="F12" i="20"/>
  <c r="G12" i="20"/>
  <c r="H12" i="20"/>
  <c r="I12" i="20"/>
  <c r="J12" i="20"/>
  <c r="K12" i="20"/>
  <c r="A1" i="19"/>
  <c r="A2" i="19"/>
  <c r="A3" i="19"/>
  <c r="A12" i="19"/>
  <c r="C12" i="19"/>
  <c r="D12" i="19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2" i="18"/>
  <c r="C12" i="18"/>
  <c r="B34" i="18"/>
  <c r="D12" i="18"/>
  <c r="B35" i="18" s="1"/>
  <c r="E12" i="18"/>
  <c r="B36" i="18" s="1"/>
  <c r="F12" i="18"/>
  <c r="A23" i="18"/>
  <c r="A22" i="18" s="1"/>
  <c r="A1" i="17"/>
  <c r="A2" i="17"/>
  <c r="A3" i="17"/>
  <c r="A12" i="17"/>
  <c r="C12" i="17"/>
  <c r="D12" i="17"/>
  <c r="E12" i="17"/>
  <c r="C63" i="17" s="1"/>
  <c r="F12" i="17"/>
  <c r="G12" i="17"/>
  <c r="B44" i="15" s="1"/>
  <c r="I12" i="17"/>
  <c r="J12" i="17"/>
  <c r="K12" i="17"/>
  <c r="L12" i="17"/>
  <c r="C69" i="17"/>
  <c r="A1" i="15"/>
  <c r="A2" i="15"/>
  <c r="A3" i="15"/>
  <c r="A40" i="15"/>
  <c r="B45" i="15"/>
  <c r="B46" i="15"/>
  <c r="B47" i="15"/>
  <c r="B48" i="15"/>
  <c r="B49" i="15"/>
  <c r="B50" i="15"/>
  <c r="B51" i="15"/>
  <c r="B53" i="15"/>
  <c r="B54" i="15"/>
  <c r="B55" i="15"/>
  <c r="B56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E12" i="10"/>
  <c r="A1" i="9"/>
  <c r="A2" i="9"/>
  <c r="A3" i="9"/>
  <c r="A12" i="9"/>
  <c r="C12" i="9"/>
  <c r="D12" i="9"/>
  <c r="E12" i="9"/>
  <c r="B32" i="9"/>
  <c r="A1" i="8"/>
  <c r="A2" i="8"/>
  <c r="A3" i="8"/>
  <c r="A12" i="8"/>
  <c r="C12" i="8"/>
  <c r="D12" i="8"/>
  <c r="E12" i="8"/>
  <c r="A1" i="7"/>
  <c r="A2" i="7"/>
  <c r="A3" i="7"/>
  <c r="A12" i="7"/>
  <c r="F12" i="7"/>
  <c r="A1" i="6"/>
  <c r="A2" i="6"/>
  <c r="A3" i="6"/>
  <c r="A12" i="6"/>
  <c r="C12" i="6"/>
  <c r="B33" i="6" s="1"/>
  <c r="D12" i="6"/>
  <c r="E12" i="6"/>
  <c r="F12" i="6"/>
  <c r="G12" i="6"/>
  <c r="B34" i="6"/>
  <c r="H12" i="6"/>
  <c r="A1" i="5"/>
  <c r="A2" i="5"/>
  <c r="A3" i="5"/>
  <c r="A12" i="5"/>
  <c r="C12" i="5"/>
  <c r="B33" i="5" s="1"/>
  <c r="B30" i="5"/>
  <c r="D12" i="5"/>
  <c r="E12" i="5"/>
  <c r="F12" i="5"/>
  <c r="G12" i="5"/>
  <c r="B34" i="5" s="1"/>
  <c r="H12" i="5"/>
  <c r="A1" i="4"/>
  <c r="A2" i="4"/>
  <c r="A3" i="4"/>
  <c r="A12" i="4"/>
  <c r="C12" i="4"/>
  <c r="D12" i="4"/>
  <c r="E12" i="4"/>
  <c r="F12" i="4"/>
  <c r="B35" i="4" s="1"/>
  <c r="G12" i="4"/>
  <c r="B34" i="4" s="1"/>
  <c r="H12" i="4"/>
  <c r="A1" i="3"/>
  <c r="A2" i="3"/>
  <c r="A3" i="3"/>
  <c r="A12" i="3"/>
  <c r="C12" i="3"/>
  <c r="D12" i="3"/>
  <c r="E12" i="3"/>
  <c r="F12" i="3"/>
  <c r="G12" i="3"/>
  <c r="B34" i="3" s="1"/>
  <c r="H12" i="3"/>
  <c r="B35" i="3"/>
  <c r="A1" i="2"/>
  <c r="A2" i="2"/>
  <c r="A3" i="2"/>
  <c r="C9" i="2"/>
  <c r="A12" i="2"/>
  <c r="C12" i="2"/>
  <c r="B23" i="2" s="1"/>
  <c r="D12" i="2"/>
  <c r="B24" i="2" s="1"/>
  <c r="E12" i="2"/>
  <c r="B25" i="2" s="1"/>
  <c r="A12" i="1"/>
  <c r="C12" i="1"/>
  <c r="B29" i="1" s="1"/>
  <c r="D12" i="1"/>
  <c r="B30" i="1" s="1"/>
  <c r="E12" i="1"/>
  <c r="F12" i="1"/>
  <c r="G12" i="1"/>
  <c r="H12" i="1"/>
  <c r="B30" i="4"/>
  <c r="B35" i="5"/>
  <c r="B31" i="11"/>
  <c r="O17" i="31"/>
  <c r="B30" i="6"/>
  <c r="B31" i="43"/>
  <c r="B32" i="43"/>
  <c r="B30" i="41"/>
  <c r="B32" i="41"/>
  <c r="B31" i="14"/>
  <c r="C22" i="10"/>
  <c r="A21" i="43"/>
  <c r="A20" i="43" s="1"/>
  <c r="A19" i="43" s="1"/>
  <c r="A18" i="43" s="1"/>
  <c r="A17" i="43" s="1"/>
  <c r="A16" i="43" s="1"/>
  <c r="A15" i="43" s="1"/>
  <c r="A14" i="43" s="1"/>
  <c r="C18" i="10"/>
  <c r="E15" i="12"/>
  <c r="E15" i="13"/>
  <c r="B30" i="7" l="1"/>
  <c r="A39" i="15"/>
  <c r="A23" i="15"/>
  <c r="B52" i="15" s="1"/>
  <c r="A64" i="33"/>
  <c r="C64" i="17"/>
  <c r="O51" i="17"/>
  <c r="A51" i="17"/>
  <c r="A54" i="21"/>
  <c r="N55" i="21"/>
  <c r="B34" i="1"/>
  <c r="B35" i="6"/>
  <c r="M33" i="37"/>
  <c r="M33" i="66"/>
  <c r="M33" i="65"/>
  <c r="O27" i="31"/>
  <c r="O16" i="31"/>
  <c r="O24" i="31"/>
  <c r="O28" i="31"/>
  <c r="O19" i="31"/>
  <c r="O18" i="31"/>
  <c r="O22" i="31"/>
  <c r="O20" i="31"/>
  <c r="O29" i="31"/>
  <c r="O25" i="31"/>
  <c r="A61" i="34"/>
  <c r="A62" i="32"/>
  <c r="A61" i="33"/>
  <c r="N23" i="18"/>
  <c r="A65" i="32"/>
  <c r="A62" i="34"/>
  <c r="B52" i="48"/>
  <c r="B50" i="48"/>
  <c r="B32" i="8"/>
  <c r="B32" i="1"/>
  <c r="A64" i="34"/>
  <c r="B37" i="45"/>
  <c r="B30" i="9"/>
  <c r="A23" i="44"/>
  <c r="A22" i="44" s="1"/>
  <c r="A21" i="44" s="1"/>
  <c r="A20" i="44" s="1"/>
  <c r="A19" i="44" s="1"/>
  <c r="A18" i="44" s="1"/>
  <c r="A17" i="44" s="1"/>
  <c r="A16" i="44" s="1"/>
  <c r="A15" i="44" s="1"/>
  <c r="A14" i="44" s="1"/>
  <c r="A63" i="32"/>
  <c r="A62" i="33"/>
  <c r="A53" i="40"/>
  <c r="B35" i="28" s="1"/>
  <c r="B32" i="44"/>
  <c r="B39" i="18"/>
  <c r="A21" i="18"/>
  <c r="N22" i="18"/>
  <c r="A52" i="20"/>
  <c r="A52" i="19"/>
  <c r="N52" i="19" s="1"/>
  <c r="B33" i="3"/>
  <c r="B32" i="10"/>
  <c r="B33" i="4"/>
  <c r="B28" i="27"/>
  <c r="B31" i="12"/>
  <c r="B42" i="37"/>
  <c r="O14" i="31"/>
  <c r="O23" i="31"/>
  <c r="O15" i="31"/>
  <c r="O21" i="31"/>
  <c r="B32" i="42"/>
  <c r="B71" i="30"/>
  <c r="A62" i="31"/>
  <c r="M22" i="10"/>
  <c r="B30" i="10" s="1"/>
  <c r="L11" i="4"/>
  <c r="A11" i="4" s="1"/>
  <c r="C23" i="9"/>
  <c r="L22" i="14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D36" i="60"/>
  <c r="L22" i="10"/>
  <c r="L21" i="42"/>
  <c r="A11" i="42" s="1"/>
  <c r="L8" i="3"/>
  <c r="L22" i="9"/>
  <c r="O50" i="17"/>
  <c r="A50" i="17"/>
  <c r="N49" i="17"/>
  <c r="E20" i="14"/>
  <c r="A16" i="30"/>
  <c r="E16" i="12"/>
  <c r="E16" i="11"/>
  <c r="F31" i="60"/>
  <c r="J31" i="60"/>
  <c r="H33" i="60"/>
  <c r="H34" i="60"/>
  <c r="E35" i="60"/>
  <c r="E17" i="18"/>
  <c r="E16" i="14"/>
  <c r="C16" i="8"/>
  <c r="D26" i="13"/>
  <c r="E23" i="18"/>
  <c r="E20" i="18"/>
  <c r="E19" i="18"/>
  <c r="E19" i="46"/>
  <c r="D23" i="46"/>
  <c r="D31" i="46"/>
  <c r="D32" i="46" s="1"/>
  <c r="E23" i="46"/>
  <c r="E16" i="48"/>
  <c r="G16" i="48" s="1"/>
  <c r="M16" i="48" s="1"/>
  <c r="D15" i="18"/>
  <c r="D19" i="18"/>
  <c r="E21" i="14"/>
  <c r="E17" i="14"/>
  <c r="E15" i="48"/>
  <c r="G15" i="48" s="1"/>
  <c r="M15" i="48" s="1"/>
  <c r="E19" i="48"/>
  <c r="G19" i="48" s="1"/>
  <c r="M19" i="48" s="1"/>
  <c r="C32" i="60"/>
  <c r="G32" i="60"/>
  <c r="F33" i="60"/>
  <c r="F34" i="60"/>
  <c r="E36" i="60"/>
  <c r="E31" i="46"/>
  <c r="E32" i="46" s="1"/>
  <c r="C19" i="18"/>
  <c r="C26" i="13"/>
  <c r="E23" i="12"/>
  <c r="L11" i="6"/>
  <c r="D23" i="18"/>
  <c r="O22" i="7"/>
  <c r="A23" i="7" s="1"/>
  <c r="A22" i="7" s="1"/>
  <c r="A21" i="7" s="1"/>
  <c r="A20" i="7" s="1"/>
  <c r="A19" i="7" s="1"/>
  <c r="A18" i="7" s="1"/>
  <c r="E23" i="11"/>
  <c r="E19" i="13"/>
  <c r="A21" i="41"/>
  <c r="A20" i="41" s="1"/>
  <c r="A19" i="41" s="1"/>
  <c r="A18" i="41" s="1"/>
  <c r="A17" i="41" s="1"/>
  <c r="A16" i="41" s="1"/>
  <c r="A15" i="41" s="1"/>
  <c r="A14" i="41" s="1"/>
  <c r="E22" i="14"/>
  <c r="C16" i="9"/>
  <c r="D21" i="18"/>
  <c r="C26" i="12"/>
  <c r="E18" i="13"/>
  <c r="D14" i="18"/>
  <c r="D22" i="18"/>
  <c r="P22" i="7"/>
  <c r="A11" i="7" s="1"/>
  <c r="C16" i="18"/>
  <c r="E20" i="12"/>
  <c r="D17" i="18"/>
  <c r="E22" i="11"/>
  <c r="M22" i="12"/>
  <c r="A4" i="12" s="1"/>
  <c r="B22" i="62" s="1"/>
  <c r="C18" i="18"/>
  <c r="C20" i="18"/>
  <c r="M22" i="14"/>
  <c r="A4" i="14" s="1"/>
  <c r="B24" i="62" s="1"/>
  <c r="C14" i="18"/>
  <c r="C15" i="18"/>
  <c r="E16" i="13"/>
  <c r="D18" i="18"/>
  <c r="D20" i="18"/>
  <c r="C22" i="18"/>
  <c r="M22" i="13"/>
  <c r="A4" i="13" s="1"/>
  <c r="B23" i="62" s="1"/>
  <c r="A4" i="11"/>
  <c r="B21" i="62" s="1"/>
  <c r="C17" i="18"/>
  <c r="M22" i="8"/>
  <c r="B30" i="8" s="1"/>
  <c r="C23" i="18"/>
  <c r="C26" i="11"/>
  <c r="D32" i="60"/>
  <c r="H32" i="60"/>
  <c r="C33" i="60"/>
  <c r="C34" i="60"/>
  <c r="E22" i="13"/>
  <c r="E20" i="13"/>
  <c r="E22" i="12"/>
  <c r="A65" i="31"/>
  <c r="E19" i="11"/>
  <c r="B49" i="60"/>
  <c r="A23" i="60"/>
  <c r="A22" i="60" s="1"/>
  <c r="C14" i="10"/>
  <c r="E14" i="14"/>
  <c r="E18" i="14"/>
  <c r="D26" i="14"/>
  <c r="E14" i="12"/>
  <c r="C14" i="8"/>
  <c r="E14" i="8" s="1"/>
  <c r="C14" i="4" s="1"/>
  <c r="D26" i="12"/>
  <c r="D33" i="60"/>
  <c r="N11" i="60"/>
  <c r="C11" i="60" s="1"/>
  <c r="D11" i="60" s="1"/>
  <c r="E11" i="60" s="1"/>
  <c r="C31" i="60"/>
  <c r="G31" i="60"/>
  <c r="J32" i="60"/>
  <c r="I33" i="60"/>
  <c r="E34" i="60"/>
  <c r="C38" i="60"/>
  <c r="E17" i="12"/>
  <c r="E21" i="11"/>
  <c r="G34" i="60"/>
  <c r="E17" i="48"/>
  <c r="G17" i="48" s="1"/>
  <c r="M17" i="48" s="1"/>
  <c r="E17" i="11"/>
  <c r="E15" i="11"/>
  <c r="F23" i="46"/>
  <c r="F19" i="46"/>
  <c r="F36" i="46"/>
  <c r="E14" i="48"/>
  <c r="E18" i="48"/>
  <c r="G18" i="48" s="1"/>
  <c r="M18" i="48" s="1"/>
  <c r="E22" i="48"/>
  <c r="G22" i="48" s="1"/>
  <c r="M22" i="48" s="1"/>
  <c r="G35" i="60"/>
  <c r="F35" i="60"/>
  <c r="D37" i="60"/>
  <c r="C37" i="60"/>
  <c r="C11" i="35"/>
  <c r="M11" i="37"/>
  <c r="C11" i="37" s="1"/>
  <c r="E22" i="18"/>
  <c r="E21" i="18"/>
  <c r="E14" i="18"/>
  <c r="E15" i="18"/>
  <c r="E16" i="18"/>
  <c r="E31" i="60"/>
  <c r="D31" i="60"/>
  <c r="H31" i="60"/>
  <c r="C35" i="60"/>
  <c r="D38" i="60"/>
  <c r="D35" i="60"/>
  <c r="C21" i="9"/>
  <c r="E21" i="13"/>
  <c r="B30" i="11"/>
  <c r="L22" i="12"/>
  <c r="A11" i="12" s="1"/>
  <c r="L22" i="13"/>
  <c r="A11" i="13" s="1"/>
  <c r="L22" i="8"/>
  <c r="E23" i="14"/>
  <c r="C23" i="10"/>
  <c r="C15" i="10"/>
  <c r="E15" i="14"/>
  <c r="E14" i="13"/>
  <c r="D36" i="46"/>
  <c r="E18" i="12"/>
  <c r="I32" i="60"/>
  <c r="G33" i="60"/>
  <c r="D34" i="60"/>
  <c r="E20" i="48"/>
  <c r="G20" i="48" s="1"/>
  <c r="M20" i="48" s="1"/>
  <c r="E18" i="11"/>
  <c r="E32" i="60"/>
  <c r="F32" i="60"/>
  <c r="A23" i="5"/>
  <c r="A22" i="5" s="1"/>
  <c r="A21" i="5" s="1"/>
  <c r="A20" i="5" s="1"/>
  <c r="A19" i="5" s="1"/>
  <c r="A18" i="5" s="1"/>
  <c r="A17" i="5" s="1"/>
  <c r="A16" i="5" s="1"/>
  <c r="A15" i="5" s="1"/>
  <c r="A14" i="5" s="1"/>
  <c r="C17" i="9"/>
  <c r="E17" i="13"/>
  <c r="E36" i="46"/>
  <c r="D26" i="11"/>
  <c r="E19" i="14"/>
  <c r="E21" i="12"/>
  <c r="E20" i="11"/>
  <c r="F36" i="60"/>
  <c r="D19" i="46"/>
  <c r="E21" i="48"/>
  <c r="G21" i="48" s="1"/>
  <c r="M21" i="48" s="1"/>
  <c r="C36" i="60"/>
  <c r="E19" i="12"/>
  <c r="E14" i="11"/>
  <c r="B30" i="14" l="1"/>
  <c r="A11" i="14"/>
  <c r="A23" i="9"/>
  <c r="A22" i="9" s="1"/>
  <c r="A21" i="9" s="1"/>
  <c r="A20" i="9" s="1"/>
  <c r="A19" i="9" s="1"/>
  <c r="A11" i="9"/>
  <c r="A23" i="3"/>
  <c r="A22" i="3" s="1"/>
  <c r="A21" i="3" s="1"/>
  <c r="A20" i="3" s="1"/>
  <c r="A19" i="3" s="1"/>
  <c r="A18" i="3" s="1"/>
  <c r="A17" i="3" s="1"/>
  <c r="A16" i="3" s="1"/>
  <c r="A15" i="3" s="1"/>
  <c r="A14" i="3" s="1"/>
  <c r="A11" i="3"/>
  <c r="A23" i="6"/>
  <c r="A22" i="6" s="1"/>
  <c r="A21" i="6" s="1"/>
  <c r="A20" i="6" s="1"/>
  <c r="A19" i="6" s="1"/>
  <c r="A18" i="6" s="1"/>
  <c r="A17" i="6" s="1"/>
  <c r="A16" i="6" s="1"/>
  <c r="A15" i="6" s="1"/>
  <c r="A14" i="6" s="1"/>
  <c r="A11" i="6"/>
  <c r="A23" i="8"/>
  <c r="A22" i="8" s="1"/>
  <c r="A21" i="8" s="1"/>
  <c r="A20" i="8" s="1"/>
  <c r="A19" i="8" s="1"/>
  <c r="A11" i="8"/>
  <c r="A23" i="10"/>
  <c r="A22" i="10" s="1"/>
  <c r="A21" i="10" s="1"/>
  <c r="A20" i="10" s="1"/>
  <c r="A19" i="10" s="1"/>
  <c r="A18" i="10" s="1"/>
  <c r="A11" i="10"/>
  <c r="B28" i="7"/>
  <c r="B27" i="7"/>
  <c r="A38" i="15"/>
  <c r="A22" i="15"/>
  <c r="E64" i="22"/>
  <c r="D14" i="5" s="1"/>
  <c r="P25" i="31"/>
  <c r="P26" i="31"/>
  <c r="P17" i="31"/>
  <c r="P22" i="31"/>
  <c r="P27" i="31"/>
  <c r="P16" i="31"/>
  <c r="P21" i="31"/>
  <c r="P20" i="31"/>
  <c r="P29" i="31"/>
  <c r="P15" i="31"/>
  <c r="P18" i="31"/>
  <c r="P23" i="31"/>
  <c r="P24" i="31"/>
  <c r="P14" i="31"/>
  <c r="P28" i="31"/>
  <c r="P19" i="31"/>
  <c r="D63" i="22"/>
  <c r="E14" i="10"/>
  <c r="C26" i="10"/>
  <c r="A51" i="19"/>
  <c r="N51" i="19" s="1"/>
  <c r="A60" i="33"/>
  <c r="B79" i="29"/>
  <c r="C42" i="60"/>
  <c r="C45" i="60" s="1"/>
  <c r="A18" i="29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A23" i="4"/>
  <c r="A22" i="4" s="1"/>
  <c r="A21" i="4" s="1"/>
  <c r="A20" i="4" s="1"/>
  <c r="A19" i="4" s="1"/>
  <c r="A18" i="4" s="1"/>
  <c r="A17" i="4" s="1"/>
  <c r="A16" i="4" s="1"/>
  <c r="A15" i="4" s="1"/>
  <c r="A14" i="4" s="1"/>
  <c r="F16" i="18"/>
  <c r="D33" i="15" s="1"/>
  <c r="A23" i="12"/>
  <c r="A22" i="12" s="1"/>
  <c r="A21" i="12" s="1"/>
  <c r="A20" i="12" s="1"/>
  <c r="A19" i="12" s="1"/>
  <c r="A18" i="12" s="1"/>
  <c r="A17" i="12" s="1"/>
  <c r="A16" i="12" s="1"/>
  <c r="A15" i="12" s="1"/>
  <c r="A14" i="12" s="1"/>
  <c r="B30" i="12"/>
  <c r="A23" i="42"/>
  <c r="A22" i="42" s="1"/>
  <c r="A21" i="42" s="1"/>
  <c r="A20" i="42" s="1"/>
  <c r="A19" i="42" s="1"/>
  <c r="A18" i="42" s="1"/>
  <c r="A17" i="42" s="1"/>
  <c r="A16" i="42" s="1"/>
  <c r="A15" i="42" s="1"/>
  <c r="A14" i="42" s="1"/>
  <c r="J43" i="60"/>
  <c r="G14" i="48"/>
  <c r="E43" i="60"/>
  <c r="A60" i="34"/>
  <c r="A20" i="18"/>
  <c r="N21" i="18"/>
  <c r="F22" i="18"/>
  <c r="D39" i="15" s="1"/>
  <c r="F23" i="18"/>
  <c r="D40" i="15" s="1"/>
  <c r="F20" i="18"/>
  <c r="D37" i="15" s="1"/>
  <c r="A51" i="20"/>
  <c r="N52" i="20"/>
  <c r="B77" i="29"/>
  <c r="F17" i="18"/>
  <c r="D34" i="15" s="1"/>
  <c r="J42" i="60"/>
  <c r="F15" i="18"/>
  <c r="D32" i="15" s="1"/>
  <c r="H42" i="60"/>
  <c r="H45" i="60" s="1"/>
  <c r="C26" i="8"/>
  <c r="G42" i="60"/>
  <c r="G45" i="60" s="1"/>
  <c r="G53" i="40"/>
  <c r="E35" i="28" s="1"/>
  <c r="F14" i="18"/>
  <c r="D31" i="15" s="1"/>
  <c r="N54" i="21"/>
  <c r="A53" i="21"/>
  <c r="F19" i="18"/>
  <c r="D36" i="15" s="1"/>
  <c r="F18" i="18"/>
  <c r="D35" i="15" s="1"/>
  <c r="A49" i="17"/>
  <c r="O49" i="17"/>
  <c r="N48" i="17"/>
  <c r="C26" i="9"/>
  <c r="A17" i="30"/>
  <c r="F11" i="60"/>
  <c r="G11" i="60" s="1"/>
  <c r="D28" i="60"/>
  <c r="A61" i="32"/>
  <c r="F21" i="18"/>
  <c r="D38" i="15" s="1"/>
  <c r="D42" i="60"/>
  <c r="D45" i="60" s="1"/>
  <c r="I42" i="60"/>
  <c r="I45" i="60" s="1"/>
  <c r="E26" i="13"/>
  <c r="I43" i="60"/>
  <c r="H43" i="60"/>
  <c r="C28" i="60"/>
  <c r="E26" i="29"/>
  <c r="G26" i="29" s="1"/>
  <c r="E25" i="29"/>
  <c r="G25" i="29" s="1"/>
  <c r="E27" i="29"/>
  <c r="E24" i="29"/>
  <c r="G24" i="29" s="1"/>
  <c r="E28" i="29"/>
  <c r="E29" i="29"/>
  <c r="G21" i="29"/>
  <c r="E23" i="29"/>
  <c r="G23" i="29" s="1"/>
  <c r="E19" i="29"/>
  <c r="G19" i="29" s="1"/>
  <c r="E20" i="29"/>
  <c r="G20" i="29" s="1"/>
  <c r="E22" i="29"/>
  <c r="G22" i="29" s="1"/>
  <c r="E18" i="29"/>
  <c r="A39" i="60"/>
  <c r="A21" i="60"/>
  <c r="E26" i="11"/>
  <c r="D43" i="60"/>
  <c r="E42" i="60"/>
  <c r="E45" i="60" s="1"/>
  <c r="E26" i="12"/>
  <c r="E26" i="1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G43" i="60"/>
  <c r="F42" i="60"/>
  <c r="F45" i="60" s="1"/>
  <c r="F43" i="60"/>
  <c r="C43" i="60"/>
  <c r="A17" i="7"/>
  <c r="A16" i="7" s="1"/>
  <c r="A15" i="7" s="1"/>
  <c r="A17" i="10"/>
  <c r="A18" i="9"/>
  <c r="A37" i="15" l="1"/>
  <c r="A21" i="15"/>
  <c r="J45" i="60"/>
  <c r="J46" i="60" s="1"/>
  <c r="G18" i="29"/>
  <c r="M14" i="48"/>
  <c r="C14" i="6"/>
  <c r="A50" i="19"/>
  <c r="A49" i="19" s="1"/>
  <c r="A19" i="29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19" i="18"/>
  <c r="N20" i="18"/>
  <c r="N51" i="20"/>
  <c r="A50" i="20"/>
  <c r="E28" i="60"/>
  <c r="F35" i="28"/>
  <c r="A52" i="21"/>
  <c r="N53" i="21"/>
  <c r="D14" i="3"/>
  <c r="D17" i="3" s="1"/>
  <c r="D23" i="5"/>
  <c r="D20" i="5"/>
  <c r="D18" i="5"/>
  <c r="D22" i="5"/>
  <c r="D17" i="5"/>
  <c r="D15" i="5"/>
  <c r="D16" i="5"/>
  <c r="D19" i="5"/>
  <c r="D21" i="5"/>
  <c r="O48" i="17"/>
  <c r="A48" i="17"/>
  <c r="N47" i="17"/>
  <c r="F28" i="60"/>
  <c r="A18" i="30"/>
  <c r="H11" i="60"/>
  <c r="G28" i="60" s="1"/>
  <c r="D14" i="4"/>
  <c r="D14" i="6"/>
  <c r="A63" i="34"/>
  <c r="A63" i="33"/>
  <c r="G17" i="29"/>
  <c r="D17" i="31"/>
  <c r="D16" i="31"/>
  <c r="D15" i="31"/>
  <c r="D14" i="34"/>
  <c r="E14" i="34" s="1"/>
  <c r="G14" i="31"/>
  <c r="D14" i="33"/>
  <c r="E14" i="33" s="1"/>
  <c r="D18" i="31"/>
  <c r="D14" i="32"/>
  <c r="E14" i="32" s="1"/>
  <c r="A38" i="60"/>
  <c r="A20" i="60"/>
  <c r="A18" i="8"/>
  <c r="A14" i="7"/>
  <c r="A16" i="10"/>
  <c r="A17" i="9"/>
  <c r="A36" i="15" l="1"/>
  <c r="A20" i="15"/>
  <c r="I46" i="60"/>
  <c r="A31" i="29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B78" i="29"/>
  <c r="B80" i="29"/>
  <c r="N50" i="19"/>
  <c r="D20" i="3"/>
  <c r="A18" i="18"/>
  <c r="N19" i="18"/>
  <c r="A49" i="20"/>
  <c r="N50" i="20"/>
  <c r="N52" i="21"/>
  <c r="A51" i="21"/>
  <c r="A48" i="19"/>
  <c r="N49" i="19"/>
  <c r="D23" i="3"/>
  <c r="D18" i="3"/>
  <c r="D16" i="3"/>
  <c r="D19" i="3"/>
  <c r="D22" i="3"/>
  <c r="D21" i="3"/>
  <c r="D15" i="3"/>
  <c r="A47" i="17"/>
  <c r="O47" i="17"/>
  <c r="N46" i="17"/>
  <c r="A19" i="30"/>
  <c r="I11" i="60"/>
  <c r="H28" i="60" s="1"/>
  <c r="D20" i="6"/>
  <c r="D22" i="6"/>
  <c r="D23" i="6"/>
  <c r="D19" i="6"/>
  <c r="D15" i="6"/>
  <c r="D16" i="6"/>
  <c r="D21" i="6"/>
  <c r="D17" i="6"/>
  <c r="D18" i="6"/>
  <c r="D21" i="4"/>
  <c r="D16" i="4"/>
  <c r="D19" i="4"/>
  <c r="D20" i="4"/>
  <c r="D15" i="4"/>
  <c r="D17" i="4"/>
  <c r="D23" i="4"/>
  <c r="D22" i="4"/>
  <c r="D18" i="4"/>
  <c r="G14" i="33"/>
  <c r="E14" i="30" s="1"/>
  <c r="E19" i="31"/>
  <c r="D19" i="33"/>
  <c r="E19" i="33" s="1"/>
  <c r="D19" i="32"/>
  <c r="E19" i="32" s="1"/>
  <c r="G19" i="32" s="1"/>
  <c r="D19" i="30" s="1"/>
  <c r="D19" i="34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G14" i="34"/>
  <c r="F14" i="30" s="1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D22" i="34"/>
  <c r="D22" i="32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E16" i="31"/>
  <c r="A37" i="60"/>
  <c r="A19" i="60"/>
  <c r="E18" i="8"/>
  <c r="C18" i="4" s="1"/>
  <c r="A17" i="8"/>
  <c r="A16" i="9"/>
  <c r="A15" i="10"/>
  <c r="E16" i="10" s="1"/>
  <c r="C16" i="6" s="1"/>
  <c r="C17" i="28" l="1"/>
  <c r="A35" i="15"/>
  <c r="A19" i="15"/>
  <c r="H46" i="60"/>
  <c r="G16" i="32"/>
  <c r="D16" i="30" s="1"/>
  <c r="G19" i="33"/>
  <c r="E19" i="30" s="1"/>
  <c r="E19" i="34"/>
  <c r="G19" i="34" s="1"/>
  <c r="F19" i="30" s="1"/>
  <c r="A17" i="18"/>
  <c r="N18" i="18"/>
  <c r="A48" i="20"/>
  <c r="N49" i="20"/>
  <c r="N51" i="21"/>
  <c r="A50" i="21"/>
  <c r="A47" i="19"/>
  <c r="N48" i="19"/>
  <c r="E18" i="10"/>
  <c r="C18" i="6" s="1"/>
  <c r="E18" i="9"/>
  <c r="C18" i="5" s="1"/>
  <c r="A46" i="17"/>
  <c r="O46" i="17"/>
  <c r="N45" i="17"/>
  <c r="A20" i="30"/>
  <c r="J11" i="60"/>
  <c r="I28" i="60" s="1"/>
  <c r="G15" i="31"/>
  <c r="C15" i="30" s="1"/>
  <c r="E31" i="29"/>
  <c r="G20" i="31"/>
  <c r="C20" i="30" s="1"/>
  <c r="E36" i="29"/>
  <c r="C19" i="28" s="1"/>
  <c r="G19" i="31"/>
  <c r="C19" i="30" s="1"/>
  <c r="G16" i="31"/>
  <c r="C16" i="30" s="1"/>
  <c r="E32" i="29"/>
  <c r="G18" i="31"/>
  <c r="C18" i="30" s="1"/>
  <c r="E34" i="29"/>
  <c r="E37" i="29"/>
  <c r="G21" i="33"/>
  <c r="E21" i="30" s="1"/>
  <c r="E33" i="29"/>
  <c r="C18" i="28" s="1"/>
  <c r="G17" i="31"/>
  <c r="C17" i="30" s="1"/>
  <c r="A36" i="60"/>
  <c r="A18" i="60"/>
  <c r="A16" i="8"/>
  <c r="E15" i="10"/>
  <c r="A14" i="10"/>
  <c r="E17" i="10"/>
  <c r="C17" i="6" s="1"/>
  <c r="A15" i="9"/>
  <c r="E16" i="9" s="1"/>
  <c r="C16" i="5" s="1"/>
  <c r="G46" i="60" l="1"/>
  <c r="F46" i="60" s="1"/>
  <c r="A34" i="15"/>
  <c r="A18" i="15"/>
  <c r="E35" i="29"/>
  <c r="A16" i="18"/>
  <c r="N17" i="18"/>
  <c r="N48" i="20"/>
  <c r="A47" i="20"/>
  <c r="N50" i="21"/>
  <c r="A49" i="21"/>
  <c r="N47" i="19"/>
  <c r="A46" i="19"/>
  <c r="E19" i="10"/>
  <c r="C19" i="6" s="1"/>
  <c r="E19" i="9"/>
  <c r="C19" i="5" s="1"/>
  <c r="E19" i="8"/>
  <c r="C19" i="4" s="1"/>
  <c r="O45" i="17"/>
  <c r="N44" i="17"/>
  <c r="A45" i="17"/>
  <c r="A21" i="30"/>
  <c r="K11" i="60"/>
  <c r="K28" i="60" s="1"/>
  <c r="A35" i="60"/>
  <c r="A17" i="60"/>
  <c r="A15" i="8"/>
  <c r="E16" i="8" s="1"/>
  <c r="C16" i="4" s="1"/>
  <c r="C15" i="6"/>
  <c r="E15" i="9"/>
  <c r="A14" i="9"/>
  <c r="E17" i="9"/>
  <c r="C17" i="5" s="1"/>
  <c r="A33" i="15" l="1"/>
  <c r="A17" i="15"/>
  <c r="E46" i="60"/>
  <c r="A15" i="18"/>
  <c r="N16" i="18"/>
  <c r="A46" i="20"/>
  <c r="N47" i="20"/>
  <c r="N46" i="19"/>
  <c r="A45" i="19"/>
  <c r="A48" i="21"/>
  <c r="N49" i="21"/>
  <c r="E20" i="10"/>
  <c r="E20" i="9"/>
  <c r="C20" i="5" s="1"/>
  <c r="E20" i="8"/>
  <c r="C20" i="4" s="1"/>
  <c r="N43" i="17"/>
  <c r="O44" i="17"/>
  <c r="A44" i="17"/>
  <c r="A22" i="30"/>
  <c r="J28" i="60"/>
  <c r="A16" i="60"/>
  <c r="A34" i="60"/>
  <c r="A14" i="8"/>
  <c r="E15" i="8"/>
  <c r="E17" i="8"/>
  <c r="C17" i="4" s="1"/>
  <c r="C15" i="5"/>
  <c r="A32" i="15" l="1"/>
  <c r="A16" i="15"/>
  <c r="D46" i="60"/>
  <c r="A14" i="18"/>
  <c r="N14" i="18" s="1"/>
  <c r="N15" i="18"/>
  <c r="A45" i="20"/>
  <c r="N46" i="20"/>
  <c r="N45" i="19"/>
  <c r="A44" i="19"/>
  <c r="N48" i="21"/>
  <c r="A47" i="21"/>
  <c r="E21" i="10"/>
  <c r="C21" i="6" s="1"/>
  <c r="E21" i="9"/>
  <c r="E21" i="8"/>
  <c r="C21" i="4" s="1"/>
  <c r="C20" i="6"/>
  <c r="O43" i="17"/>
  <c r="A43" i="17"/>
  <c r="N42" i="17"/>
  <c r="A23" i="30"/>
  <c r="A33" i="60"/>
  <c r="A15" i="60"/>
  <c r="C15" i="4"/>
  <c r="A31" i="15" l="1"/>
  <c r="A15" i="15"/>
  <c r="C46" i="60"/>
  <c r="A44" i="20"/>
  <c r="N45" i="20"/>
  <c r="N44" i="19"/>
  <c r="A43" i="19"/>
  <c r="N47" i="21"/>
  <c r="A46" i="21"/>
  <c r="C21" i="5"/>
  <c r="E22" i="10"/>
  <c r="C22" i="6" s="1"/>
  <c r="E22" i="9"/>
  <c r="C22" i="5" s="1"/>
  <c r="E22" i="8"/>
  <c r="O42" i="17"/>
  <c r="A42" i="17"/>
  <c r="N41" i="17"/>
  <c r="A24" i="30"/>
  <c r="A14" i="60"/>
  <c r="A31" i="60" s="1"/>
  <c r="A32" i="60"/>
  <c r="A43" i="20" l="1"/>
  <c r="N44" i="20"/>
  <c r="A45" i="21"/>
  <c r="N46" i="21"/>
  <c r="A42" i="19"/>
  <c r="N43" i="19"/>
  <c r="E23" i="10"/>
  <c r="E26" i="10" s="1"/>
  <c r="E23" i="9"/>
  <c r="C23" i="5" s="1"/>
  <c r="E23" i="8"/>
  <c r="C23" i="4" s="1"/>
  <c r="C22" i="4"/>
  <c r="O41" i="17"/>
  <c r="A41" i="17"/>
  <c r="N40" i="17"/>
  <c r="A25" i="30"/>
  <c r="C26" i="4" l="1"/>
  <c r="C23" i="6"/>
  <c r="C26" i="6" s="1"/>
  <c r="C26" i="5"/>
  <c r="A42" i="20"/>
  <c r="N43" i="20"/>
  <c r="N42" i="19"/>
  <c r="K56" i="19" s="1"/>
  <c r="A41" i="19"/>
  <c r="N45" i="21"/>
  <c r="A44" i="21"/>
  <c r="E26" i="9"/>
  <c r="E26" i="8"/>
  <c r="C26" i="3"/>
  <c r="N39" i="17"/>
  <c r="A40" i="17"/>
  <c r="O40" i="17"/>
  <c r="A26" i="30"/>
  <c r="N42" i="20" l="1"/>
  <c r="K56" i="20" s="1"/>
  <c r="A41" i="20"/>
  <c r="A40" i="19"/>
  <c r="N41" i="19"/>
  <c r="J43" i="19"/>
  <c r="K51" i="19"/>
  <c r="J44" i="19"/>
  <c r="K46" i="19"/>
  <c r="J46" i="19"/>
  <c r="J52" i="19"/>
  <c r="J48" i="19"/>
  <c r="K57" i="19"/>
  <c r="J45" i="19"/>
  <c r="K50" i="19"/>
  <c r="J57" i="19"/>
  <c r="K43" i="19"/>
  <c r="K53" i="19"/>
  <c r="J47" i="19"/>
  <c r="K52" i="19"/>
  <c r="K42" i="19"/>
  <c r="K45" i="19"/>
  <c r="K47" i="19"/>
  <c r="J53" i="19"/>
  <c r="K49" i="19"/>
  <c r="J50" i="19"/>
  <c r="J49" i="19"/>
  <c r="K44" i="19"/>
  <c r="J42" i="19"/>
  <c r="J51" i="19"/>
  <c r="K48" i="19"/>
  <c r="N44" i="21"/>
  <c r="A43" i="21"/>
  <c r="A39" i="17"/>
  <c r="O39" i="17"/>
  <c r="N38" i="17"/>
  <c r="A27" i="30"/>
  <c r="K58" i="21" l="1"/>
  <c r="K55" i="21"/>
  <c r="K54" i="21"/>
  <c r="J55" i="21"/>
  <c r="J54" i="21"/>
  <c r="K53" i="21"/>
  <c r="K52" i="21"/>
  <c r="K51" i="21"/>
  <c r="K50" i="21"/>
  <c r="K49" i="21"/>
  <c r="K48" i="21"/>
  <c r="K47" i="21"/>
  <c r="K46" i="21"/>
  <c r="K45" i="21"/>
  <c r="K44" i="21"/>
  <c r="K59" i="21"/>
  <c r="J53" i="21"/>
  <c r="J52" i="21"/>
  <c r="J51" i="21"/>
  <c r="J50" i="21"/>
  <c r="J49" i="21"/>
  <c r="J48" i="21"/>
  <c r="J47" i="21"/>
  <c r="J46" i="21"/>
  <c r="J45" i="21"/>
  <c r="J44" i="21"/>
  <c r="J59" i="21"/>
  <c r="J56" i="19"/>
  <c r="N41" i="20"/>
  <c r="A40" i="20"/>
  <c r="K47" i="20"/>
  <c r="K45" i="20"/>
  <c r="K49" i="20"/>
  <c r="J53" i="20"/>
  <c r="K51" i="20"/>
  <c r="K53" i="20"/>
  <c r="K42" i="20"/>
  <c r="J45" i="20"/>
  <c r="J42" i="20"/>
  <c r="J46" i="20"/>
  <c r="J50" i="20"/>
  <c r="J57" i="20"/>
  <c r="K48" i="20"/>
  <c r="K43" i="20"/>
  <c r="J48" i="20"/>
  <c r="J44" i="20"/>
  <c r="J52" i="20"/>
  <c r="K44" i="20"/>
  <c r="J47" i="20"/>
  <c r="K52" i="20"/>
  <c r="J51" i="20"/>
  <c r="K57" i="20"/>
  <c r="K50" i="20"/>
  <c r="K46" i="20"/>
  <c r="J43" i="20"/>
  <c r="J49" i="20"/>
  <c r="A42" i="21"/>
  <c r="N43" i="21"/>
  <c r="N40" i="19"/>
  <c r="A39" i="19"/>
  <c r="A38" i="17"/>
  <c r="O38" i="17"/>
  <c r="N37" i="17"/>
  <c r="A28" i="30"/>
  <c r="J58" i="21" l="1"/>
  <c r="J56" i="20"/>
  <c r="A39" i="20"/>
  <c r="N40" i="20"/>
  <c r="A38" i="19"/>
  <c r="N39" i="19"/>
  <c r="N42" i="21"/>
  <c r="A41" i="21"/>
  <c r="A37" i="17"/>
  <c r="O37" i="17"/>
  <c r="N36" i="17"/>
  <c r="A29" i="30"/>
  <c r="N39" i="20" l="1"/>
  <c r="A38" i="20"/>
  <c r="N38" i="19"/>
  <c r="A37" i="19"/>
  <c r="N41" i="21"/>
  <c r="A40" i="21"/>
  <c r="A36" i="17"/>
  <c r="O36" i="17"/>
  <c r="N35" i="17"/>
  <c r="A30" i="30"/>
  <c r="N38" i="20" l="1"/>
  <c r="A37" i="20"/>
  <c r="N37" i="19"/>
  <c r="A36" i="19"/>
  <c r="I47" i="19"/>
  <c r="H41" i="19"/>
  <c r="H48" i="19"/>
  <c r="H38" i="19"/>
  <c r="I45" i="19"/>
  <c r="H42" i="19"/>
  <c r="H40" i="19"/>
  <c r="H43" i="19"/>
  <c r="H47" i="19"/>
  <c r="H44" i="19"/>
  <c r="I49" i="19"/>
  <c r="I50" i="19"/>
  <c r="I43" i="19"/>
  <c r="I56" i="19"/>
  <c r="I53" i="19"/>
  <c r="H50" i="19"/>
  <c r="I48" i="19"/>
  <c r="I46" i="19"/>
  <c r="I38" i="19"/>
  <c r="H49" i="19"/>
  <c r="H52" i="19"/>
  <c r="H57" i="19"/>
  <c r="I40" i="19"/>
  <c r="H45" i="19"/>
  <c r="I51" i="19"/>
  <c r="H51" i="19"/>
  <c r="I42" i="19"/>
  <c r="H46" i="19"/>
  <c r="I52" i="19"/>
  <c r="I41" i="19"/>
  <c r="H39" i="19"/>
  <c r="I57" i="19"/>
  <c r="H53" i="19"/>
  <c r="I39" i="19"/>
  <c r="I44" i="19"/>
  <c r="A39" i="21"/>
  <c r="N40" i="21"/>
  <c r="A35" i="17"/>
  <c r="N34" i="17"/>
  <c r="O35" i="17"/>
  <c r="A31" i="30"/>
  <c r="I42" i="21" l="1"/>
  <c r="H42" i="21"/>
  <c r="I58" i="21"/>
  <c r="I43" i="21"/>
  <c r="I55" i="21"/>
  <c r="I54" i="21"/>
  <c r="H43" i="21"/>
  <c r="H55" i="21"/>
  <c r="H54" i="21"/>
  <c r="I53" i="21"/>
  <c r="I52" i="21"/>
  <c r="I51" i="21"/>
  <c r="I50" i="21"/>
  <c r="I49" i="21"/>
  <c r="I48" i="21"/>
  <c r="I47" i="21"/>
  <c r="I46" i="21"/>
  <c r="I45" i="21"/>
  <c r="I44" i="21"/>
  <c r="I40" i="21"/>
  <c r="I59" i="21"/>
  <c r="H53" i="21"/>
  <c r="H52" i="21"/>
  <c r="H51" i="21"/>
  <c r="H50" i="21"/>
  <c r="H49" i="21"/>
  <c r="H48" i="21"/>
  <c r="H47" i="21"/>
  <c r="H46" i="21"/>
  <c r="H45" i="21"/>
  <c r="H44" i="21"/>
  <c r="H40" i="21"/>
  <c r="H59" i="21"/>
  <c r="I41" i="21"/>
  <c r="H41" i="21"/>
  <c r="H56" i="19"/>
  <c r="A36" i="20"/>
  <c r="N37" i="20"/>
  <c r="H45" i="20"/>
  <c r="I40" i="20"/>
  <c r="H43" i="20"/>
  <c r="I42" i="20"/>
  <c r="I48" i="20"/>
  <c r="H46" i="20"/>
  <c r="I39" i="20"/>
  <c r="H47" i="20"/>
  <c r="I53" i="20"/>
  <c r="I49" i="20"/>
  <c r="I41" i="20"/>
  <c r="H57" i="20"/>
  <c r="H48" i="20"/>
  <c r="I57" i="20"/>
  <c r="I52" i="20"/>
  <c r="H51" i="20"/>
  <c r="H41" i="20"/>
  <c r="H42" i="20"/>
  <c r="I38" i="20"/>
  <c r="H39" i="20"/>
  <c r="H53" i="20"/>
  <c r="H49" i="20"/>
  <c r="H50" i="20"/>
  <c r="H44" i="20"/>
  <c r="I44" i="20"/>
  <c r="H52" i="20"/>
  <c r="I46" i="20"/>
  <c r="I51" i="20"/>
  <c r="I50" i="20"/>
  <c r="I45" i="20"/>
  <c r="H40" i="20"/>
  <c r="I47" i="20"/>
  <c r="I56" i="20"/>
  <c r="I43" i="20"/>
  <c r="H38" i="20"/>
  <c r="N39" i="21"/>
  <c r="A38" i="21"/>
  <c r="A35" i="19"/>
  <c r="N36" i="19"/>
  <c r="O34" i="17"/>
  <c r="N33" i="17"/>
  <c r="A34" i="17"/>
  <c r="A32" i="30"/>
  <c r="H58" i="21" l="1"/>
  <c r="H56" i="20"/>
  <c r="A35" i="20"/>
  <c r="N36" i="20"/>
  <c r="A34" i="19"/>
  <c r="N35" i="19"/>
  <c r="N38" i="21"/>
  <c r="A37" i="21"/>
  <c r="N32" i="17"/>
  <c r="O33" i="17"/>
  <c r="A33" i="17"/>
  <c r="A33" i="30"/>
  <c r="E60" i="22" l="1"/>
  <c r="D14" i="27" s="1"/>
  <c r="A34" i="20"/>
  <c r="N35" i="20"/>
  <c r="N34" i="19"/>
  <c r="A33" i="19"/>
  <c r="N37" i="21"/>
  <c r="A36" i="21"/>
  <c r="A32" i="17"/>
  <c r="N31" i="17"/>
  <c r="O32" i="17"/>
  <c r="A34" i="30"/>
  <c r="C63" i="22" l="1"/>
  <c r="E63" i="22" s="1"/>
  <c r="D20" i="27"/>
  <c r="D19" i="27"/>
  <c r="A33" i="20"/>
  <c r="N34" i="20"/>
  <c r="N33" i="19"/>
  <c r="A32" i="19"/>
  <c r="G43" i="19"/>
  <c r="G36" i="19"/>
  <c r="F51" i="19"/>
  <c r="F39" i="19"/>
  <c r="F57" i="19"/>
  <c r="G52" i="19"/>
  <c r="F37" i="19"/>
  <c r="G53" i="19"/>
  <c r="G49" i="19"/>
  <c r="G56" i="19"/>
  <c r="C28" i="18" s="1"/>
  <c r="G41" i="19"/>
  <c r="G40" i="19"/>
  <c r="G57" i="19"/>
  <c r="F52" i="19"/>
  <c r="G47" i="19"/>
  <c r="F40" i="19"/>
  <c r="F53" i="19"/>
  <c r="F46" i="19"/>
  <c r="F48" i="19"/>
  <c r="G45" i="19"/>
  <c r="F34" i="19"/>
  <c r="G42" i="19"/>
  <c r="F38" i="19"/>
  <c r="G35" i="19"/>
  <c r="G46" i="19"/>
  <c r="F35" i="19"/>
  <c r="F36" i="19"/>
  <c r="F50" i="19"/>
  <c r="G39" i="19"/>
  <c r="F42" i="19"/>
  <c r="G44" i="19"/>
  <c r="F44" i="19"/>
  <c r="F45" i="19"/>
  <c r="F49" i="19"/>
  <c r="G48" i="19"/>
  <c r="F47" i="19"/>
  <c r="F41" i="19"/>
  <c r="G51" i="19"/>
  <c r="G34" i="19"/>
  <c r="F43" i="19"/>
  <c r="G38" i="19"/>
  <c r="G37" i="19"/>
  <c r="G50" i="19"/>
  <c r="N36" i="21"/>
  <c r="A35" i="21"/>
  <c r="N30" i="17"/>
  <c r="O31" i="17"/>
  <c r="A31" i="17"/>
  <c r="A35" i="30"/>
  <c r="D18" i="27"/>
  <c r="D17" i="27"/>
  <c r="D22" i="27"/>
  <c r="E58" i="22"/>
  <c r="G41" i="21" l="1"/>
  <c r="G59" i="21"/>
  <c r="F49" i="21"/>
  <c r="F45" i="21"/>
  <c r="F38" i="21"/>
  <c r="F59" i="21"/>
  <c r="F41" i="21"/>
  <c r="G42" i="21"/>
  <c r="G39" i="21"/>
  <c r="G37" i="21"/>
  <c r="F52" i="21"/>
  <c r="F51" i="21"/>
  <c r="F47" i="21"/>
  <c r="F36" i="21"/>
  <c r="F42" i="21"/>
  <c r="F39" i="21"/>
  <c r="F37" i="21"/>
  <c r="G58" i="21"/>
  <c r="E28" i="18" s="1"/>
  <c r="G43" i="21"/>
  <c r="G53" i="21"/>
  <c r="G51" i="21"/>
  <c r="G50" i="21"/>
  <c r="G48" i="21"/>
  <c r="G46" i="21"/>
  <c r="G45" i="21"/>
  <c r="G40" i="21"/>
  <c r="G36" i="21"/>
  <c r="F50" i="21"/>
  <c r="F48" i="21"/>
  <c r="F44" i="21"/>
  <c r="F40" i="21"/>
  <c r="G55" i="21"/>
  <c r="G54" i="21"/>
  <c r="F43" i="21"/>
  <c r="F55" i="21"/>
  <c r="F54" i="21"/>
  <c r="G52" i="21"/>
  <c r="G49" i="21"/>
  <c r="G47" i="21"/>
  <c r="G44" i="21"/>
  <c r="G38" i="21"/>
  <c r="F53" i="21"/>
  <c r="F46" i="21"/>
  <c r="F56" i="19"/>
  <c r="C30" i="18"/>
  <c r="G45" i="20"/>
  <c r="F40" i="20"/>
  <c r="F39" i="20"/>
  <c r="G53" i="20"/>
  <c r="G56" i="20"/>
  <c r="D28" i="18" s="1"/>
  <c r="G51" i="20"/>
  <c r="G46" i="20"/>
  <c r="G40" i="20"/>
  <c r="F43" i="20"/>
  <c r="G36" i="20"/>
  <c r="F49" i="20"/>
  <c r="G47" i="20"/>
  <c r="F45" i="20"/>
  <c r="G48" i="20"/>
  <c r="F52" i="20"/>
  <c r="F35" i="20"/>
  <c r="F42" i="20"/>
  <c r="F37" i="20"/>
  <c r="F41" i="20"/>
  <c r="G50" i="20"/>
  <c r="G57" i="20"/>
  <c r="G38" i="20"/>
  <c r="G49" i="20"/>
  <c r="F44" i="20"/>
  <c r="F51" i="20"/>
  <c r="F57" i="20"/>
  <c r="F34" i="20"/>
  <c r="G52" i="20"/>
  <c r="F53" i="20"/>
  <c r="G34" i="20"/>
  <c r="G41" i="20"/>
  <c r="G35" i="20"/>
  <c r="F48" i="20"/>
  <c r="F36" i="20"/>
  <c r="F38" i="20"/>
  <c r="F47" i="20"/>
  <c r="F50" i="20"/>
  <c r="G42" i="20"/>
  <c r="G37" i="20"/>
  <c r="F46" i="20"/>
  <c r="G39" i="20"/>
  <c r="G44" i="20"/>
  <c r="G43" i="20"/>
  <c r="N33" i="20"/>
  <c r="A32" i="20"/>
  <c r="A34" i="21"/>
  <c r="N35" i="21"/>
  <c r="E30" i="18"/>
  <c r="A31" i="19"/>
  <c r="N32" i="19"/>
  <c r="O30" i="17"/>
  <c r="A30" i="17"/>
  <c r="N29" i="17"/>
  <c r="A36" i="30"/>
  <c r="F58" i="21" l="1"/>
  <c r="F56" i="20"/>
  <c r="A31" i="20"/>
  <c r="N32" i="20"/>
  <c r="A30" i="19"/>
  <c r="N31" i="19"/>
  <c r="N34" i="21"/>
  <c r="A33" i="21"/>
  <c r="O29" i="17"/>
  <c r="N28" i="17"/>
  <c r="A29" i="17"/>
  <c r="A37" i="30"/>
  <c r="F28" i="18" l="1"/>
  <c r="F30" i="18" s="1"/>
  <c r="D30" i="18"/>
  <c r="A30" i="20"/>
  <c r="N31" i="20"/>
  <c r="N30" i="19"/>
  <c r="A29" i="19"/>
  <c r="N33" i="21"/>
  <c r="A32" i="21"/>
  <c r="A28" i="17"/>
  <c r="O28" i="17"/>
  <c r="N27" i="17"/>
  <c r="A38" i="30"/>
  <c r="I19" i="15" l="1"/>
  <c r="F31" i="15" s="1"/>
  <c r="N30" i="20"/>
  <c r="A29" i="20"/>
  <c r="N32" i="21"/>
  <c r="A31" i="21"/>
  <c r="A28" i="19"/>
  <c r="N29" i="19"/>
  <c r="N26" i="17"/>
  <c r="A27" i="17"/>
  <c r="O27" i="17"/>
  <c r="A39" i="30"/>
  <c r="F34" i="15" l="1"/>
  <c r="F35" i="15"/>
  <c r="F39" i="15"/>
  <c r="F37" i="15"/>
  <c r="F32" i="15"/>
  <c r="F40" i="15"/>
  <c r="F33" i="15"/>
  <c r="F38" i="15"/>
  <c r="F36" i="15"/>
  <c r="N29" i="20"/>
  <c r="A28" i="20"/>
  <c r="A30" i="21"/>
  <c r="N31" i="21"/>
  <c r="A27" i="19"/>
  <c r="N28" i="19"/>
  <c r="A26" i="17"/>
  <c r="N25" i="17"/>
  <c r="O26" i="17"/>
  <c r="A40" i="30"/>
  <c r="N28" i="20" l="1"/>
  <c r="A27" i="20"/>
  <c r="A26" i="19"/>
  <c r="N27" i="19"/>
  <c r="A29" i="21"/>
  <c r="N30" i="21"/>
  <c r="A25" i="17"/>
  <c r="O25" i="17"/>
  <c r="N24" i="17"/>
  <c r="A41" i="30"/>
  <c r="A26" i="20" l="1"/>
  <c r="N27" i="20"/>
  <c r="A28" i="21"/>
  <c r="N29" i="21"/>
  <c r="N26" i="19"/>
  <c r="A25" i="19"/>
  <c r="A24" i="17"/>
  <c r="N23" i="17"/>
  <c r="O24" i="17"/>
  <c r="A42" i="30"/>
  <c r="A25" i="20" l="1"/>
  <c r="N26" i="20"/>
  <c r="A27" i="21"/>
  <c r="N28" i="21"/>
  <c r="A24" i="19"/>
  <c r="N25" i="19"/>
  <c r="A23" i="17"/>
  <c r="O23" i="17"/>
  <c r="N22" i="17"/>
  <c r="A43" i="30"/>
  <c r="N25" i="20" l="1"/>
  <c r="A24" i="20"/>
  <c r="A23" i="19"/>
  <c r="N24" i="19"/>
  <c r="A26" i="21"/>
  <c r="N27" i="21"/>
  <c r="N21" i="17"/>
  <c r="O22" i="17"/>
  <c r="A22" i="17"/>
  <c r="A44" i="30"/>
  <c r="N24" i="20" l="1"/>
  <c r="A23" i="20"/>
  <c r="N23" i="19"/>
  <c r="A22" i="19"/>
  <c r="N26" i="21"/>
  <c r="A25" i="21"/>
  <c r="A21" i="17"/>
  <c r="O21" i="17"/>
  <c r="N20" i="17"/>
  <c r="A45" i="30"/>
  <c r="A46" i="30" l="1"/>
  <c r="A22" i="20"/>
  <c r="N23" i="20"/>
  <c r="N22" i="19"/>
  <c r="A21" i="19"/>
  <c r="N25" i="21"/>
  <c r="A24" i="21"/>
  <c r="N19" i="17"/>
  <c r="O20" i="17"/>
  <c r="A20" i="17"/>
  <c r="A47" i="30" l="1"/>
  <c r="A21" i="20"/>
  <c r="N22" i="20"/>
  <c r="A20" i="19"/>
  <c r="N21" i="19"/>
  <c r="A23" i="21"/>
  <c r="N24" i="21"/>
  <c r="N18" i="17"/>
  <c r="O19" i="17"/>
  <c r="A19" i="17"/>
  <c r="A48" i="30" l="1"/>
  <c r="A20" i="20"/>
  <c r="N21" i="20"/>
  <c r="N23" i="21"/>
  <c r="A22" i="21"/>
  <c r="N20" i="19"/>
  <c r="A19" i="19"/>
  <c r="A18" i="17"/>
  <c r="N17" i="17"/>
  <c r="O18" i="17"/>
  <c r="A49" i="30" l="1"/>
  <c r="A19" i="20"/>
  <c r="N20" i="20"/>
  <c r="N22" i="21"/>
  <c r="A21" i="21"/>
  <c r="N19" i="19"/>
  <c r="A18" i="19"/>
  <c r="A17" i="17"/>
  <c r="N16" i="17"/>
  <c r="O17" i="17"/>
  <c r="A50" i="30" l="1"/>
  <c r="A18" i="20"/>
  <c r="N19" i="20"/>
  <c r="N18" i="19"/>
  <c r="A17" i="19"/>
  <c r="N21" i="21"/>
  <c r="A20" i="21"/>
  <c r="O16" i="17"/>
  <c r="N15" i="17"/>
  <c r="A16" i="17"/>
  <c r="A51" i="30" l="1"/>
  <c r="A17" i="20"/>
  <c r="N18" i="20"/>
  <c r="N20" i="21"/>
  <c r="A19" i="21"/>
  <c r="N17" i="19"/>
  <c r="A16" i="19"/>
  <c r="N14" i="17"/>
  <c r="O15" i="17"/>
  <c r="A15" i="17"/>
  <c r="A52" i="30" l="1"/>
  <c r="A16" i="20"/>
  <c r="N17" i="20"/>
  <c r="A15" i="19"/>
  <c r="N16" i="19"/>
  <c r="N19" i="21"/>
  <c r="A18" i="21"/>
  <c r="A14" i="17"/>
  <c r="O14" i="17"/>
  <c r="A53" i="30" l="1"/>
  <c r="A15" i="20"/>
  <c r="N16" i="20"/>
  <c r="N18" i="21"/>
  <c r="A17" i="21"/>
  <c r="N15" i="19"/>
  <c r="A14" i="19"/>
  <c r="N14" i="19" s="1"/>
  <c r="N46" i="30" l="1"/>
  <c r="N47" i="30"/>
  <c r="N48" i="30"/>
  <c r="N49" i="30"/>
  <c r="N51" i="30"/>
  <c r="N50" i="30"/>
  <c r="N52" i="30"/>
  <c r="N53" i="30"/>
  <c r="N54" i="30"/>
  <c r="N15" i="20"/>
  <c r="A14" i="20"/>
  <c r="N14" i="20" s="1"/>
  <c r="E14" i="19"/>
  <c r="D31" i="19"/>
  <c r="D50" i="19"/>
  <c r="D42" i="19"/>
  <c r="E52" i="19"/>
  <c r="E33" i="19"/>
  <c r="E18" i="19"/>
  <c r="E47" i="19"/>
  <c r="E23" i="19"/>
  <c r="E20" i="19"/>
  <c r="E35" i="19"/>
  <c r="D35" i="19"/>
  <c r="E17" i="19"/>
  <c r="D51" i="19"/>
  <c r="E24" i="19"/>
  <c r="E21" i="19"/>
  <c r="D30" i="19"/>
  <c r="E19" i="19"/>
  <c r="E32" i="19"/>
  <c r="D27" i="19"/>
  <c r="E25" i="19"/>
  <c r="E30" i="19"/>
  <c r="D57" i="19"/>
  <c r="D14" i="19"/>
  <c r="E46" i="19"/>
  <c r="E27" i="19"/>
  <c r="D17" i="19"/>
  <c r="E51" i="19"/>
  <c r="E41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5" i="19"/>
  <c r="E34" i="19"/>
  <c r="D16" i="19"/>
  <c r="D38" i="19"/>
  <c r="D25" i="19"/>
  <c r="E31" i="19"/>
  <c r="E15" i="19"/>
  <c r="E22" i="19"/>
  <c r="D19" i="19"/>
  <c r="D15" i="19"/>
  <c r="E53" i="19"/>
  <c r="D26" i="19"/>
  <c r="E49" i="19"/>
  <c r="E37" i="19"/>
  <c r="D24" i="19"/>
  <c r="D43" i="19"/>
  <c r="D18" i="19"/>
  <c r="E38" i="19"/>
  <c r="D34" i="19"/>
  <c r="D20" i="19"/>
  <c r="D33" i="19"/>
  <c r="E50" i="19"/>
  <c r="E36" i="19"/>
  <c r="D36" i="19"/>
  <c r="E43" i="19"/>
  <c r="E40" i="19"/>
  <c r="D32" i="19"/>
  <c r="D47" i="19"/>
  <c r="E57" i="19"/>
  <c r="D37" i="19"/>
  <c r="E26" i="19"/>
  <c r="E48" i="19"/>
  <c r="D46" i="19"/>
  <c r="E42" i="19"/>
  <c r="D40" i="19"/>
  <c r="E56" i="19"/>
  <c r="E44" i="19"/>
  <c r="E39" i="19"/>
  <c r="N17" i="21"/>
  <c r="A16" i="21"/>
  <c r="D17" i="20" l="1"/>
  <c r="E14" i="20"/>
  <c r="D18" i="20"/>
  <c r="D21" i="20"/>
  <c r="E33" i="20"/>
  <c r="D33" i="20"/>
  <c r="E18" i="20"/>
  <c r="D48" i="20"/>
  <c r="E43" i="20"/>
  <c r="D19" i="20"/>
  <c r="D45" i="20"/>
  <c r="D14" i="20"/>
  <c r="D42" i="20"/>
  <c r="D36" i="20"/>
  <c r="D47" i="20"/>
  <c r="D23" i="20"/>
  <c r="D39" i="20"/>
  <c r="E52" i="20"/>
  <c r="E28" i="20"/>
  <c r="D50" i="20"/>
  <c r="E20" i="20"/>
  <c r="D20" i="20"/>
  <c r="E42" i="20"/>
  <c r="D22" i="20"/>
  <c r="E44" i="20"/>
  <c r="D46" i="20"/>
  <c r="D27" i="20"/>
  <c r="E48" i="20"/>
  <c r="D49" i="20"/>
  <c r="E23" i="20"/>
  <c r="D37" i="20"/>
  <c r="E19" i="20"/>
  <c r="D44" i="20"/>
  <c r="D51" i="20"/>
  <c r="E30" i="20"/>
  <c r="E35" i="20"/>
  <c r="E16" i="20"/>
  <c r="E39" i="20"/>
  <c r="D30" i="20"/>
  <c r="D34" i="20"/>
  <c r="E46" i="20"/>
  <c r="D29" i="20"/>
  <c r="D38" i="20"/>
  <c r="E29" i="20"/>
  <c r="E56" i="20"/>
  <c r="E57" i="20"/>
  <c r="E24" i="20"/>
  <c r="E36" i="20"/>
  <c r="D26" i="20"/>
  <c r="D41" i="20"/>
  <c r="D28" i="20"/>
  <c r="E21" i="20"/>
  <c r="E53" i="20"/>
  <c r="E27" i="20"/>
  <c r="E25" i="20"/>
  <c r="E34" i="20"/>
  <c r="D43" i="20"/>
  <c r="D40" i="20"/>
  <c r="D32" i="20"/>
  <c r="E49" i="20"/>
  <c r="E37" i="20"/>
  <c r="E15" i="20"/>
  <c r="D15" i="20"/>
  <c r="D57" i="20"/>
  <c r="E47" i="20"/>
  <c r="E40" i="20"/>
  <c r="D52" i="20"/>
  <c r="D53" i="20"/>
  <c r="E31" i="20"/>
  <c r="E22" i="20"/>
  <c r="E17" i="20"/>
  <c r="E32" i="20"/>
  <c r="E26" i="20"/>
  <c r="E45" i="20"/>
  <c r="D24" i="20"/>
  <c r="E38" i="20"/>
  <c r="E51" i="20"/>
  <c r="E50" i="20"/>
  <c r="E41" i="20"/>
  <c r="D35" i="20"/>
  <c r="D16" i="20"/>
  <c r="D25" i="20"/>
  <c r="D31" i="20"/>
  <c r="D56" i="19"/>
  <c r="A15" i="21"/>
  <c r="N16" i="21"/>
  <c r="D56" i="20" l="1"/>
  <c r="N15" i="21"/>
  <c r="A14" i="21"/>
  <c r="N14" i="21" s="1"/>
  <c r="D55" i="21" l="1"/>
  <c r="D54" i="21"/>
  <c r="E53" i="21"/>
  <c r="E52" i="21"/>
  <c r="E51" i="21"/>
  <c r="E50" i="21"/>
  <c r="E49" i="21"/>
  <c r="E48" i="21"/>
  <c r="E47" i="21"/>
  <c r="E46" i="21"/>
  <c r="E45" i="21"/>
  <c r="E44" i="21"/>
  <c r="E40" i="21"/>
  <c r="E38" i="21"/>
  <c r="E36" i="21"/>
  <c r="E32" i="21"/>
  <c r="E28" i="21"/>
  <c r="E24" i="21"/>
  <c r="E20" i="21"/>
  <c r="E16" i="21"/>
  <c r="E59" i="21"/>
  <c r="D16" i="21"/>
  <c r="E54" i="21"/>
  <c r="D25" i="21"/>
  <c r="D53" i="21"/>
  <c r="D52" i="21"/>
  <c r="D51" i="21"/>
  <c r="D50" i="21"/>
  <c r="D49" i="21"/>
  <c r="D48" i="21"/>
  <c r="D47" i="21"/>
  <c r="D46" i="21"/>
  <c r="D45" i="21"/>
  <c r="D44" i="21"/>
  <c r="D40" i="21"/>
  <c r="D38" i="21"/>
  <c r="D36" i="21"/>
  <c r="D32" i="21"/>
  <c r="D28" i="21"/>
  <c r="D24" i="21"/>
  <c r="D20" i="21"/>
  <c r="D59" i="21"/>
  <c r="E41" i="21"/>
  <c r="E35" i="21"/>
  <c r="E31" i="21"/>
  <c r="E27" i="21"/>
  <c r="E23" i="21"/>
  <c r="E19" i="21"/>
  <c r="E15" i="21"/>
  <c r="E21" i="21"/>
  <c r="D43" i="21"/>
  <c r="D21" i="21"/>
  <c r="D41" i="21"/>
  <c r="D35" i="21"/>
  <c r="D31" i="21"/>
  <c r="D27" i="21"/>
  <c r="D23" i="21"/>
  <c r="D19" i="21"/>
  <c r="D15" i="21"/>
  <c r="E42" i="21"/>
  <c r="E39" i="21"/>
  <c r="E37" i="21"/>
  <c r="E34" i="21"/>
  <c r="E30" i="21"/>
  <c r="E26" i="21"/>
  <c r="E22" i="21"/>
  <c r="E18" i="21"/>
  <c r="E14" i="21"/>
  <c r="E58" i="21"/>
  <c r="E43" i="21"/>
  <c r="E33" i="21"/>
  <c r="E25" i="21"/>
  <c r="E55" i="21"/>
  <c r="D33" i="21"/>
  <c r="D17" i="21"/>
  <c r="D42" i="21"/>
  <c r="D39" i="21"/>
  <c r="D37" i="21"/>
  <c r="D34" i="21"/>
  <c r="D30" i="21"/>
  <c r="D26" i="21"/>
  <c r="D22" i="21"/>
  <c r="D18" i="21"/>
  <c r="D14" i="21"/>
  <c r="E29" i="21"/>
  <c r="E17" i="21"/>
  <c r="D29" i="21"/>
  <c r="D58" i="21" l="1"/>
  <c r="D15" i="45" l="1"/>
  <c r="D14" i="45" l="1"/>
  <c r="D16" i="45"/>
  <c r="D18" i="45" l="1"/>
  <c r="D17" i="45"/>
  <c r="D19" i="45" l="1"/>
  <c r="D21" i="45" l="1"/>
  <c r="D15" i="44" s="1"/>
  <c r="D20" i="45"/>
  <c r="D14" i="44" s="1"/>
  <c r="D14" i="42" l="1"/>
  <c r="D14" i="43"/>
  <c r="D14" i="41"/>
  <c r="D15" i="41"/>
  <c r="D15" i="43"/>
  <c r="D15" i="42"/>
  <c r="D22" i="45" l="1"/>
  <c r="D16" i="44" s="1"/>
  <c r="D23" i="45"/>
  <c r="D17" i="44" s="1"/>
  <c r="D16" i="43" l="1"/>
  <c r="D16" i="41"/>
  <c r="D16" i="42"/>
  <c r="D17" i="42"/>
  <c r="D17" i="43"/>
  <c r="D17" i="41"/>
  <c r="D24" i="45"/>
  <c r="D18" i="44" l="1"/>
  <c r="D18" i="43" l="1"/>
  <c r="D18" i="42"/>
  <c r="D18" i="41"/>
  <c r="D25" i="45"/>
  <c r="D19" i="44" s="1"/>
  <c r="D19" i="41" l="1"/>
  <c r="D19" i="42"/>
  <c r="D19" i="43"/>
  <c r="D20" i="42"/>
  <c r="D20" i="43"/>
  <c r="D20" i="41"/>
  <c r="D21" i="41"/>
  <c r="D21" i="43"/>
  <c r="D21" i="42"/>
  <c r="E23" i="31" l="1"/>
  <c r="E23" i="32"/>
  <c r="E22" i="33"/>
  <c r="E56" i="33" s="1"/>
  <c r="E23" i="34"/>
  <c r="G23" i="34" s="1"/>
  <c r="F23" i="30" s="1"/>
  <c r="E22" i="32"/>
  <c r="G23" i="33"/>
  <c r="E23" i="30" s="1"/>
  <c r="E22" i="34"/>
  <c r="G22" i="32" l="1"/>
  <c r="D22" i="30" s="1"/>
  <c r="G22" i="33"/>
  <c r="E22" i="30" s="1"/>
  <c r="G23" i="32"/>
  <c r="D23" i="30" s="1"/>
  <c r="E39" i="29"/>
  <c r="G23" i="31"/>
  <c r="C23" i="30" s="1"/>
  <c r="G22" i="34"/>
  <c r="F22" i="30" s="1"/>
  <c r="E22" i="31" l="1"/>
  <c r="G22" i="31" l="1"/>
  <c r="C22" i="30" s="1"/>
  <c r="E38" i="29"/>
  <c r="E25" i="32"/>
  <c r="E25" i="34"/>
  <c r="G25" i="33" l="1"/>
  <c r="E25" i="30" s="1"/>
  <c r="E25" i="31"/>
  <c r="E41" i="29" s="1"/>
  <c r="E24" i="34"/>
  <c r="G25" i="34"/>
  <c r="F25" i="30" s="1"/>
  <c r="E24" i="31"/>
  <c r="E24" i="32"/>
  <c r="E26" i="34"/>
  <c r="E26" i="32"/>
  <c r="G25" i="32"/>
  <c r="D25" i="30" s="1"/>
  <c r="G24" i="31" l="1"/>
  <c r="C24" i="30" s="1"/>
  <c r="G26" i="33"/>
  <c r="E26" i="30" s="1"/>
  <c r="G26" i="34"/>
  <c r="F26" i="30" s="1"/>
  <c r="E40" i="29"/>
  <c r="E27" i="32"/>
  <c r="E27" i="34"/>
  <c r="G24" i="34"/>
  <c r="F24" i="30" s="1"/>
  <c r="G25" i="31"/>
  <c r="C25" i="30" s="1"/>
  <c r="G24" i="32"/>
  <c r="D24" i="30" s="1"/>
  <c r="G24" i="33"/>
  <c r="E24" i="30" s="1"/>
  <c r="G27" i="32" l="1"/>
  <c r="D27" i="30" s="1"/>
  <c r="E27" i="31"/>
  <c r="G26" i="32"/>
  <c r="D26" i="30" s="1"/>
  <c r="G27" i="34"/>
  <c r="F27" i="30" s="1"/>
  <c r="E26" i="31"/>
  <c r="E42" i="29" l="1"/>
  <c r="G28" i="33"/>
  <c r="E28" i="30" s="1"/>
  <c r="G27" i="31"/>
  <c r="C27" i="30" s="1"/>
  <c r="G26" i="31"/>
  <c r="C26" i="30" s="1"/>
  <c r="E43" i="29"/>
  <c r="E28" i="32"/>
  <c r="E29" i="34"/>
  <c r="G29" i="34" l="1"/>
  <c r="F29" i="30" s="1"/>
  <c r="E30" i="32"/>
  <c r="E30" i="34"/>
  <c r="G29" i="33"/>
  <c r="E29" i="30" s="1"/>
  <c r="E28" i="31"/>
  <c r="E28" i="34"/>
  <c r="E29" i="31"/>
  <c r="G28" i="32"/>
  <c r="D28" i="30" s="1"/>
  <c r="G27" i="33"/>
  <c r="E27" i="30" s="1"/>
  <c r="G30" i="34" l="1"/>
  <c r="F30" i="30" s="1"/>
  <c r="G29" i="31"/>
  <c r="C29" i="30" s="1"/>
  <c r="G30" i="33"/>
  <c r="E30" i="30" s="1"/>
  <c r="G30" i="32"/>
  <c r="D30" i="30" s="1"/>
  <c r="E29" i="32"/>
  <c r="E45" i="29" s="1"/>
  <c r="E44" i="29"/>
  <c r="E31" i="32"/>
  <c r="E30" i="31"/>
  <c r="E46" i="29" s="1"/>
  <c r="C20" i="28" s="1"/>
  <c r="G28" i="34"/>
  <c r="F28" i="30" s="1"/>
  <c r="G28" i="31"/>
  <c r="C28" i="30" s="1"/>
  <c r="G29" i="32" l="1"/>
  <c r="D29" i="30" s="1"/>
  <c r="E32" i="32"/>
  <c r="E32" i="34"/>
  <c r="G31" i="32"/>
  <c r="D31" i="30" s="1"/>
  <c r="E31" i="34"/>
  <c r="G31" i="34" s="1"/>
  <c r="F31" i="30" s="1"/>
  <c r="G30" i="31"/>
  <c r="C30" i="30" s="1"/>
  <c r="E31" i="31"/>
  <c r="G32" i="34" l="1"/>
  <c r="F32" i="30" s="1"/>
  <c r="G31" i="31"/>
  <c r="C31" i="30" s="1"/>
  <c r="G32" i="32"/>
  <c r="D32" i="30" s="1"/>
  <c r="E32" i="31"/>
  <c r="E48" i="29" s="1"/>
  <c r="G31" i="33"/>
  <c r="E31" i="30" s="1"/>
  <c r="E47" i="29"/>
  <c r="E33" i="32"/>
  <c r="G32" i="33"/>
  <c r="E32" i="30" s="1"/>
  <c r="G33" i="32" l="1"/>
  <c r="D33" i="30" s="1"/>
  <c r="G33" i="33"/>
  <c r="E33" i="30" s="1"/>
  <c r="E34" i="32"/>
  <c r="E34" i="34"/>
  <c r="E33" i="34"/>
  <c r="G33" i="34" s="1"/>
  <c r="F33" i="30" s="1"/>
  <c r="E33" i="31"/>
  <c r="G32" i="31"/>
  <c r="C32" i="30" s="1"/>
  <c r="E56" i="32" l="1"/>
  <c r="G56" i="32" s="1"/>
  <c r="E49" i="29"/>
  <c r="G34" i="32"/>
  <c r="D34" i="30" s="1"/>
  <c r="G33" i="31"/>
  <c r="C33" i="30" s="1"/>
  <c r="G34" i="33"/>
  <c r="E34" i="30" s="1"/>
  <c r="E35" i="34"/>
  <c r="G34" i="34"/>
  <c r="F34" i="30" s="1"/>
  <c r="E34" i="31"/>
  <c r="E50" i="29" s="1"/>
  <c r="C21" i="28" s="1"/>
  <c r="G34" i="31" l="1"/>
  <c r="C34" i="30" s="1"/>
  <c r="E35" i="31"/>
  <c r="E51" i="29" s="1"/>
  <c r="G35" i="34"/>
  <c r="F35" i="30" s="1"/>
  <c r="G35" i="32"/>
  <c r="D35" i="30" s="1"/>
  <c r="E36" i="34"/>
  <c r="G35" i="33"/>
  <c r="E35" i="30" s="1"/>
  <c r="G35" i="31" l="1"/>
  <c r="C35" i="30" s="1"/>
  <c r="G36" i="33"/>
  <c r="E36" i="30" s="1"/>
  <c r="E37" i="34"/>
  <c r="E36" i="31"/>
  <c r="E52" i="29" s="1"/>
  <c r="C22" i="28" s="1"/>
  <c r="G36" i="34"/>
  <c r="F36" i="30" s="1"/>
  <c r="G36" i="32"/>
  <c r="D36" i="30" s="1"/>
  <c r="G37" i="33" l="1"/>
  <c r="E37" i="30" s="1"/>
  <c r="G37" i="34"/>
  <c r="F37" i="30" s="1"/>
  <c r="G36" i="31"/>
  <c r="C36" i="30" s="1"/>
  <c r="E37" i="31"/>
  <c r="E53" i="29" s="1"/>
  <c r="E38" i="34"/>
  <c r="G37" i="32"/>
  <c r="D37" i="30" s="1"/>
  <c r="G37" i="31" l="1"/>
  <c r="C37" i="30" s="1"/>
  <c r="G38" i="32"/>
  <c r="D38" i="30" s="1"/>
  <c r="G38" i="33"/>
  <c r="E38" i="30" s="1"/>
  <c r="E38" i="31"/>
  <c r="E54" i="29" s="1"/>
  <c r="C23" i="28" s="1"/>
  <c r="G38" i="34"/>
  <c r="F38" i="30" s="1"/>
  <c r="E39" i="34"/>
  <c r="G39" i="32" l="1"/>
  <c r="D39" i="30" s="1"/>
  <c r="G38" i="31"/>
  <c r="C38" i="30" s="1"/>
  <c r="E39" i="31"/>
  <c r="E55" i="29" s="1"/>
  <c r="C24" i="28" s="1"/>
  <c r="G39" i="33"/>
  <c r="E39" i="30" s="1"/>
  <c r="E40" i="34"/>
  <c r="G39" i="34"/>
  <c r="F39" i="30" s="1"/>
  <c r="G40" i="34" l="1"/>
  <c r="F40" i="30" s="1"/>
  <c r="G40" i="32"/>
  <c r="D40" i="30" s="1"/>
  <c r="G40" i="33"/>
  <c r="E40" i="30" s="1"/>
  <c r="E41" i="34"/>
  <c r="G39" i="31"/>
  <c r="C39" i="30" s="1"/>
  <c r="E40" i="31"/>
  <c r="E56" i="29" l="1"/>
  <c r="G41" i="33"/>
  <c r="E41" i="30" s="1"/>
  <c r="E14" i="42"/>
  <c r="G41" i="34"/>
  <c r="F41" i="30" s="1"/>
  <c r="E41" i="31"/>
  <c r="E57" i="29" s="1"/>
  <c r="E15" i="42"/>
  <c r="G15" i="4" s="1"/>
  <c r="E15" i="43"/>
  <c r="G15" i="5" s="1"/>
  <c r="E15" i="44"/>
  <c r="G15" i="6" s="1"/>
  <c r="E14" i="44"/>
  <c r="G41" i="32"/>
  <c r="D41" i="30" s="1"/>
  <c r="E42" i="34"/>
  <c r="E14" i="43"/>
  <c r="G40" i="31"/>
  <c r="C40" i="30" s="1"/>
  <c r="G41" i="31" l="1"/>
  <c r="C41" i="30" s="1"/>
  <c r="G42" i="34"/>
  <c r="F42" i="30" s="1"/>
  <c r="G42" i="32"/>
  <c r="D42" i="30" s="1"/>
  <c r="G42" i="33"/>
  <c r="E42" i="30" s="1"/>
  <c r="E15" i="41"/>
  <c r="G15" i="3" s="1"/>
  <c r="G14" i="5"/>
  <c r="E14" i="41"/>
  <c r="E43" i="34"/>
  <c r="E42" i="31"/>
  <c r="E58" i="29" s="1"/>
  <c r="G14" i="6"/>
  <c r="E16" i="42"/>
  <c r="G16" i="4" s="1"/>
  <c r="E16" i="44"/>
  <c r="G16" i="6" s="1"/>
  <c r="G14" i="4"/>
  <c r="E44" i="34" l="1"/>
  <c r="G43" i="33"/>
  <c r="E43" i="30" s="1"/>
  <c r="E16" i="43"/>
  <c r="G43" i="32"/>
  <c r="D43" i="30" s="1"/>
  <c r="G14" i="3"/>
  <c r="E17" i="42"/>
  <c r="E17" i="44"/>
  <c r="G17" i="6" s="1"/>
  <c r="E17" i="43"/>
  <c r="G17" i="5" s="1"/>
  <c r="G42" i="31"/>
  <c r="C42" i="30" s="1"/>
  <c r="G43" i="34"/>
  <c r="F43" i="30" s="1"/>
  <c r="E43" i="31"/>
  <c r="E59" i="29" s="1"/>
  <c r="G44" i="33" l="1"/>
  <c r="E44" i="30" s="1"/>
  <c r="E17" i="41"/>
  <c r="G17" i="3" s="1"/>
  <c r="E18" i="44"/>
  <c r="G18" i="6" s="1"/>
  <c r="E18" i="43"/>
  <c r="G18" i="5" s="1"/>
  <c r="G43" i="31"/>
  <c r="C43" i="30" s="1"/>
  <c r="G44" i="32"/>
  <c r="D44" i="30" s="1"/>
  <c r="E45" i="34"/>
  <c r="G17" i="4"/>
  <c r="E16" i="41"/>
  <c r="E44" i="31"/>
  <c r="E60" i="29" s="1"/>
  <c r="G16" i="5"/>
  <c r="G44" i="34"/>
  <c r="F44" i="30" s="1"/>
  <c r="G45" i="32" l="1"/>
  <c r="D45" i="30" s="1"/>
  <c r="G45" i="33"/>
  <c r="E45" i="30" s="1"/>
  <c r="G44" i="31"/>
  <c r="C44" i="30" s="1"/>
  <c r="G45" i="34"/>
  <c r="F45" i="30" s="1"/>
  <c r="E19" i="42"/>
  <c r="G19" i="4" s="1"/>
  <c r="E19" i="43"/>
  <c r="E46" i="34"/>
  <c r="E45" i="31"/>
  <c r="E61" i="29" s="1"/>
  <c r="G16" i="3"/>
  <c r="E18" i="42"/>
  <c r="G46" i="33" l="1"/>
  <c r="E46" i="30" s="1"/>
  <c r="G46" i="32"/>
  <c r="D46" i="30" s="1"/>
  <c r="E19" i="44"/>
  <c r="E47" i="34"/>
  <c r="E46" i="31"/>
  <c r="E62" i="29" s="1"/>
  <c r="E18" i="41"/>
  <c r="G18" i="4"/>
  <c r="G46" i="34"/>
  <c r="F46" i="30" s="1"/>
  <c r="E20" i="44"/>
  <c r="G20" i="6" s="1"/>
  <c r="G19" i="5"/>
  <c r="E19" i="41"/>
  <c r="G19" i="3" s="1"/>
  <c r="G45" i="31"/>
  <c r="C45" i="30" s="1"/>
  <c r="G47" i="32" l="1"/>
  <c r="D47" i="30" s="1"/>
  <c r="G46" i="31"/>
  <c r="C46" i="30" s="1"/>
  <c r="E21" i="43"/>
  <c r="G21" i="5" s="1"/>
  <c r="E21" i="42"/>
  <c r="G21" i="4" s="1"/>
  <c r="E21" i="44"/>
  <c r="G21" i="6" s="1"/>
  <c r="G18" i="3"/>
  <c r="E20" i="42"/>
  <c r="E47" i="31"/>
  <c r="E63" i="29" s="1"/>
  <c r="E20" i="43"/>
  <c r="E20" i="41"/>
  <c r="G20" i="3" s="1"/>
  <c r="E48" i="34"/>
  <c r="G47" i="34"/>
  <c r="F47" i="30" s="1"/>
  <c r="G47" i="33"/>
  <c r="E47" i="30" s="1"/>
  <c r="G19" i="6"/>
  <c r="G48" i="33" l="1"/>
  <c r="E48" i="30" s="1"/>
  <c r="G48" i="34"/>
  <c r="F48" i="30" s="1"/>
  <c r="G47" i="31"/>
  <c r="C47" i="30" s="1"/>
  <c r="G20" i="4"/>
  <c r="E49" i="34"/>
  <c r="G48" i="32"/>
  <c r="D48" i="30" s="1"/>
  <c r="E48" i="31"/>
  <c r="E64" i="29" s="1"/>
  <c r="C25" i="28" s="1"/>
  <c r="E22" i="43"/>
  <c r="G22" i="5" s="1"/>
  <c r="E22" i="42"/>
  <c r="G22" i="4" s="1"/>
  <c r="G20" i="5"/>
  <c r="G49" i="34" l="1"/>
  <c r="F49" i="30" s="1"/>
  <c r="G49" i="32"/>
  <c r="D49" i="30" s="1"/>
  <c r="E50" i="34"/>
  <c r="G48" i="31"/>
  <c r="C48" i="30" s="1"/>
  <c r="G49" i="33"/>
  <c r="E49" i="30" s="1"/>
  <c r="E22" i="44"/>
  <c r="E22" i="41"/>
  <c r="G22" i="3" s="1"/>
  <c r="E49" i="31"/>
  <c r="E65" i="29" s="1"/>
  <c r="E21" i="41"/>
  <c r="G50" i="33" l="1"/>
  <c r="E50" i="30" s="1"/>
  <c r="G50" i="32"/>
  <c r="D50" i="30" s="1"/>
  <c r="G49" i="31"/>
  <c r="C49" i="30" s="1"/>
  <c r="G22" i="6"/>
  <c r="G21" i="3"/>
  <c r="E50" i="31"/>
  <c r="E66" i="29" s="1"/>
  <c r="G50" i="34"/>
  <c r="F50" i="30" s="1"/>
  <c r="E23" i="43" l="1"/>
  <c r="C26" i="43"/>
  <c r="C26" i="44"/>
  <c r="E23" i="41"/>
  <c r="C26" i="41"/>
  <c r="G50" i="31"/>
  <c r="C50" i="30" s="1"/>
  <c r="E23" i="42"/>
  <c r="C26" i="42"/>
  <c r="E51" i="34" l="1"/>
  <c r="E51" i="31"/>
  <c r="G23" i="4"/>
  <c r="G26" i="4" s="1"/>
  <c r="E26" i="42"/>
  <c r="G23" i="6"/>
  <c r="E26" i="44"/>
  <c r="G56" i="33"/>
  <c r="G23" i="3"/>
  <c r="E26" i="41"/>
  <c r="G23" i="5"/>
  <c r="E26" i="43"/>
  <c r="E56" i="31" l="1"/>
  <c r="G56" i="31" s="1"/>
  <c r="E56" i="34"/>
  <c r="G56" i="34" s="1"/>
  <c r="G51" i="34"/>
  <c r="F51" i="30" s="1"/>
  <c r="F56" i="30" s="1"/>
  <c r="G51" i="32"/>
  <c r="D51" i="30" s="1"/>
  <c r="D56" i="30" s="1"/>
  <c r="E67" i="29"/>
  <c r="E72" i="29" s="1"/>
  <c r="G26" i="3"/>
  <c r="G26" i="5"/>
  <c r="G26" i="6"/>
  <c r="G51" i="33"/>
  <c r="E51" i="30" s="1"/>
  <c r="E56" i="30" s="1"/>
  <c r="G51" i="31"/>
  <c r="C51" i="30" s="1"/>
  <c r="C56" i="30" s="1"/>
  <c r="C26" i="28" l="1"/>
  <c r="E38" i="48"/>
  <c r="G38" i="48" s="1"/>
  <c r="M38" i="48" s="1"/>
  <c r="E40" i="48" l="1"/>
  <c r="G40" i="48" s="1"/>
  <c r="M40" i="48" s="1"/>
  <c r="E36" i="48"/>
  <c r="G36" i="48" s="1"/>
  <c r="M36" i="48" s="1"/>
  <c r="E32" i="48"/>
  <c r="G32" i="48" s="1"/>
  <c r="M32" i="48" s="1"/>
  <c r="E28" i="48"/>
  <c r="G28" i="48" s="1"/>
  <c r="M28" i="48" s="1"/>
  <c r="E24" i="48"/>
  <c r="G24" i="48" s="1"/>
  <c r="M24" i="48" s="1"/>
  <c r="E39" i="48"/>
  <c r="G39" i="48" s="1"/>
  <c r="M39" i="48" s="1"/>
  <c r="E35" i="48"/>
  <c r="G35" i="48" s="1"/>
  <c r="M35" i="48" s="1"/>
  <c r="E31" i="48"/>
  <c r="G31" i="48" s="1"/>
  <c r="M31" i="48" s="1"/>
  <c r="E27" i="48"/>
  <c r="G27" i="48" s="1"/>
  <c r="M27" i="48" s="1"/>
  <c r="E37" i="48"/>
  <c r="G37" i="48" s="1"/>
  <c r="M37" i="48" s="1"/>
  <c r="E29" i="48"/>
  <c r="G29" i="48" s="1"/>
  <c r="M29" i="48" s="1"/>
  <c r="E30" i="48"/>
  <c r="G30" i="48" s="1"/>
  <c r="M30" i="48" s="1"/>
  <c r="E41" i="48"/>
  <c r="G41" i="48" s="1"/>
  <c r="M41" i="48" s="1"/>
  <c r="E34" i="48"/>
  <c r="G34" i="48" s="1"/>
  <c r="M34" i="48" s="1"/>
  <c r="E26" i="48"/>
  <c r="G26" i="48" s="1"/>
  <c r="M26" i="48" s="1"/>
  <c r="E23" i="48"/>
  <c r="E33" i="48"/>
  <c r="G33" i="48" s="1"/>
  <c r="M33" i="48" s="1"/>
  <c r="E25" i="48"/>
  <c r="G25" i="48" s="1"/>
  <c r="M25" i="48" s="1"/>
  <c r="E45" i="48" l="1"/>
  <c r="G23" i="48"/>
  <c r="G45" i="48" s="1"/>
  <c r="M23" i="48" l="1"/>
  <c r="B33" i="65" l="1"/>
  <c r="B33" i="66"/>
  <c r="B33" i="37"/>
  <c r="F62" i="30" l="1"/>
  <c r="D62" i="30"/>
  <c r="C62" i="30" l="1"/>
  <c r="E62" i="30" l="1"/>
  <c r="G62" i="30" s="1"/>
  <c r="C63" i="30" s="1"/>
  <c r="C19" i="2" l="1"/>
  <c r="D16" i="2" s="1"/>
  <c r="F63" i="30"/>
  <c r="D63" i="30"/>
  <c r="E63" i="30"/>
  <c r="D14" i="2" l="1"/>
  <c r="D17" i="2"/>
  <c r="D15" i="2"/>
  <c r="G63" i="30"/>
  <c r="G20" i="30" s="1"/>
  <c r="H20" i="30" s="1"/>
  <c r="G23" i="30" l="1"/>
  <c r="H23" i="30" s="1"/>
  <c r="G39" i="29" s="1"/>
  <c r="G32" i="30"/>
  <c r="H32" i="30" s="1"/>
  <c r="G48" i="29" s="1"/>
  <c r="G54" i="30"/>
  <c r="H54" i="30" s="1"/>
  <c r="G70" i="29" s="1"/>
  <c r="G36" i="29"/>
  <c r="E19" i="28" s="1"/>
  <c r="G38" i="30"/>
  <c r="H38" i="30" s="1"/>
  <c r="G53" i="30"/>
  <c r="D19" i="2"/>
  <c r="G46" i="30"/>
  <c r="G28" i="30"/>
  <c r="H28" i="30" s="1"/>
  <c r="G44" i="29" s="1"/>
  <c r="G52" i="30"/>
  <c r="G41" i="30"/>
  <c r="G49" i="30"/>
  <c r="G50" i="30"/>
  <c r="G21" i="30"/>
  <c r="H21" i="30" s="1"/>
  <c r="G37" i="29" s="1"/>
  <c r="G19" i="30"/>
  <c r="H19" i="30" s="1"/>
  <c r="G35" i="29" s="1"/>
  <c r="G31" i="30"/>
  <c r="H31" i="30" s="1"/>
  <c r="G47" i="29" s="1"/>
  <c r="G14" i="30"/>
  <c r="G45" i="30"/>
  <c r="G44" i="30"/>
  <c r="G42" i="30"/>
  <c r="G15" i="30"/>
  <c r="H15" i="30" s="1"/>
  <c r="G31" i="29" s="1"/>
  <c r="G43" i="30"/>
  <c r="G35" i="30"/>
  <c r="H35" i="30" s="1"/>
  <c r="G51" i="29" s="1"/>
  <c r="G24" i="30"/>
  <c r="H24" i="30" s="1"/>
  <c r="G40" i="29" s="1"/>
  <c r="G48" i="30"/>
  <c r="H48" i="30" s="1"/>
  <c r="G47" i="30"/>
  <c r="G37" i="30"/>
  <c r="H37" i="30" s="1"/>
  <c r="G53" i="29" s="1"/>
  <c r="G17" i="30"/>
  <c r="H17" i="30" s="1"/>
  <c r="G30" i="30"/>
  <c r="H30" i="30" s="1"/>
  <c r="G36" i="30"/>
  <c r="H36" i="30" s="1"/>
  <c r="G27" i="30"/>
  <c r="H27" i="30" s="1"/>
  <c r="G43" i="29" s="1"/>
  <c r="G16" i="30"/>
  <c r="H16" i="30" s="1"/>
  <c r="G32" i="29" s="1"/>
  <c r="G34" i="30"/>
  <c r="H34" i="30" s="1"/>
  <c r="G39" i="30"/>
  <c r="H39" i="30" s="1"/>
  <c r="G33" i="30"/>
  <c r="H33" i="30" s="1"/>
  <c r="G49" i="29" s="1"/>
  <c r="G22" i="30"/>
  <c r="H22" i="30" s="1"/>
  <c r="G38" i="29" s="1"/>
  <c r="G51" i="30"/>
  <c r="H51" i="30" s="1"/>
  <c r="G29" i="30"/>
  <c r="H29" i="30" s="1"/>
  <c r="G45" i="29" s="1"/>
  <c r="G18" i="30"/>
  <c r="H18" i="30" s="1"/>
  <c r="G34" i="29" s="1"/>
  <c r="G40" i="30"/>
  <c r="G26" i="30"/>
  <c r="H26" i="30" s="1"/>
  <c r="G42" i="29" s="1"/>
  <c r="G25" i="30"/>
  <c r="H25" i="30" s="1"/>
  <c r="G41" i="29" s="1"/>
  <c r="H40" i="30" l="1"/>
  <c r="G56" i="29" s="1"/>
  <c r="H46" i="30"/>
  <c r="G62" i="29" s="1"/>
  <c r="H43" i="30"/>
  <c r="G59" i="29" s="1"/>
  <c r="H53" i="30"/>
  <c r="G69" i="29" s="1"/>
  <c r="G56" i="30"/>
  <c r="H50" i="30"/>
  <c r="G66" i="29" s="1"/>
  <c r="H42" i="30"/>
  <c r="G58" i="29" s="1"/>
  <c r="H49" i="30"/>
  <c r="G65" i="29" s="1"/>
  <c r="H44" i="30"/>
  <c r="G60" i="29" s="1"/>
  <c r="H41" i="30"/>
  <c r="G57" i="29" s="1"/>
  <c r="H47" i="30"/>
  <c r="G63" i="29" s="1"/>
  <c r="H45" i="30"/>
  <c r="G61" i="29" s="1"/>
  <c r="H52" i="30"/>
  <c r="G68" i="29" s="1"/>
  <c r="E27" i="28" s="1"/>
  <c r="G50" i="29"/>
  <c r="E21" i="28" s="1"/>
  <c r="G52" i="29"/>
  <c r="E22" i="28" s="1"/>
  <c r="G46" i="29"/>
  <c r="E20" i="28" s="1"/>
  <c r="G54" i="29"/>
  <c r="E23" i="28" s="1"/>
  <c r="G55" i="29"/>
  <c r="E24" i="28" s="1"/>
  <c r="G33" i="29"/>
  <c r="E18" i="28" s="1"/>
  <c r="G64" i="29"/>
  <c r="G67" i="29"/>
  <c r="E26" i="28" s="1"/>
  <c r="H14" i="30"/>
  <c r="H56" i="30" l="1"/>
  <c r="G74" i="29"/>
  <c r="G75" i="29" s="1"/>
  <c r="E30" i="28" s="1"/>
  <c r="F27" i="28" s="1"/>
  <c r="E25" i="28"/>
  <c r="G30" i="29"/>
  <c r="E17" i="28" s="1"/>
  <c r="F23" i="28" l="1"/>
  <c r="F16" i="28"/>
  <c r="F15" i="28"/>
  <c r="F22" i="28"/>
  <c r="F20" i="28"/>
  <c r="F21" i="28"/>
  <c r="F19" i="28"/>
  <c r="F18" i="28"/>
  <c r="F14" i="28"/>
  <c r="F24" i="28"/>
  <c r="F13" i="28"/>
  <c r="G72" i="29"/>
  <c r="F17" i="28"/>
  <c r="A57" i="29" l="1"/>
  <c r="A58" i="29" l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F26" i="28" l="1"/>
  <c r="E28" i="28" l="1"/>
  <c r="F25" i="28"/>
  <c r="F28" i="28" s="1"/>
  <c r="E32" i="28" l="1"/>
  <c r="E37" i="28" s="1"/>
  <c r="C14" i="27" l="1"/>
  <c r="F51" i="17"/>
  <c r="G51" i="17" s="1"/>
  <c r="C23" i="15" s="1"/>
  <c r="F44" i="17"/>
  <c r="F46" i="17"/>
  <c r="F45" i="17"/>
  <c r="F41" i="17"/>
  <c r="F50" i="17"/>
  <c r="G50" i="17" s="1"/>
  <c r="F47" i="17"/>
  <c r="G47" i="17" s="1"/>
  <c r="C22" i="15" s="1"/>
  <c r="C39" i="15" s="1"/>
  <c r="F49" i="17"/>
  <c r="F33" i="17"/>
  <c r="F25" i="17"/>
  <c r="F52" i="17"/>
  <c r="G52" i="17" s="1"/>
  <c r="F17" i="17"/>
  <c r="F42" i="17"/>
  <c r="F21" i="17"/>
  <c r="F48" i="17"/>
  <c r="F43" i="17"/>
  <c r="C40" i="15" l="1"/>
  <c r="G17" i="17"/>
  <c r="G33" i="17"/>
  <c r="G49" i="17"/>
  <c r="H52" i="17"/>
  <c r="G41" i="17"/>
  <c r="H44" i="17"/>
  <c r="G46" i="17"/>
  <c r="H49" i="17"/>
  <c r="G45" i="17"/>
  <c r="H48" i="17"/>
  <c r="G21" i="17"/>
  <c r="G42" i="17"/>
  <c r="H45" i="17"/>
  <c r="G25" i="17"/>
  <c r="G43" i="17"/>
  <c r="C21" i="15" s="1"/>
  <c r="C38" i="15" s="1"/>
  <c r="H46" i="17"/>
  <c r="H50" i="17"/>
  <c r="H51" i="17"/>
  <c r="G48" i="17"/>
  <c r="H47" i="17"/>
  <c r="G44" i="17"/>
  <c r="E14" i="27" l="1"/>
  <c r="C19" i="1" s="1"/>
  <c r="F20" i="17" l="1"/>
  <c r="G20" i="17" s="1"/>
  <c r="F19" i="17"/>
  <c r="G19" i="17" s="1"/>
  <c r="F24" i="17"/>
  <c r="G24" i="17" s="1"/>
  <c r="F16" i="17"/>
  <c r="G16" i="17" s="1"/>
  <c r="F22" i="17"/>
  <c r="G22" i="17" s="1"/>
  <c r="F38" i="17"/>
  <c r="F39" i="17"/>
  <c r="G39" i="17" s="1"/>
  <c r="C20" i="15" s="1"/>
  <c r="C37" i="15" s="1"/>
  <c r="F34" i="17"/>
  <c r="F15" i="17"/>
  <c r="G15" i="17" s="1"/>
  <c r="F14" i="17"/>
  <c r="G14" i="17" s="1"/>
  <c r="F18" i="17"/>
  <c r="F36" i="17"/>
  <c r="G36" i="17" s="1"/>
  <c r="F40" i="17"/>
  <c r="H43" i="17" s="1"/>
  <c r="F35" i="17"/>
  <c r="F30" i="17"/>
  <c r="G30" i="17" s="1"/>
  <c r="F29" i="17"/>
  <c r="G29" i="17" s="1"/>
  <c r="F23" i="17"/>
  <c r="G23" i="17" s="1"/>
  <c r="C16" i="15" s="1"/>
  <c r="C33" i="15" s="1"/>
  <c r="F37" i="17"/>
  <c r="F32" i="17"/>
  <c r="G32" i="17" s="1"/>
  <c r="F31" i="17"/>
  <c r="F27" i="17"/>
  <c r="F26" i="17"/>
  <c r="F28" i="17"/>
  <c r="G28" i="17" s="1"/>
  <c r="C15" i="15" l="1"/>
  <c r="C32" i="15" s="1"/>
  <c r="C14" i="15"/>
  <c r="C31" i="15" s="1"/>
  <c r="H21" i="17"/>
  <c r="H26" i="17"/>
  <c r="H27" i="17"/>
  <c r="H36" i="17"/>
  <c r="H30" i="17"/>
  <c r="H32" i="17"/>
  <c r="G34" i="17"/>
  <c r="H22" i="17"/>
  <c r="G26" i="17"/>
  <c r="H35" i="17"/>
  <c r="H41" i="17"/>
  <c r="H31" i="17"/>
  <c r="H40" i="17"/>
  <c r="H34" i="17"/>
  <c r="G37" i="17"/>
  <c r="H38" i="17"/>
  <c r="H18" i="17"/>
  <c r="H42" i="17"/>
  <c r="G38" i="17"/>
  <c r="H19" i="17"/>
  <c r="H39" i="17"/>
  <c r="G27" i="17"/>
  <c r="C17" i="15" s="1"/>
  <c r="C34" i="15" s="1"/>
  <c r="H33" i="17"/>
  <c r="H28" i="17"/>
  <c r="G40" i="17"/>
  <c r="G18" i="17"/>
  <c r="H24" i="17"/>
  <c r="H37" i="17"/>
  <c r="G35" i="17"/>
  <c r="C19" i="15" s="1"/>
  <c r="C36" i="15" s="1"/>
  <c r="H17" i="17"/>
  <c r="I56" i="17" s="1"/>
  <c r="H23" i="17"/>
  <c r="H20" i="17"/>
  <c r="H25" i="17"/>
  <c r="H29" i="17"/>
  <c r="G31" i="17"/>
  <c r="C18" i="15" s="1"/>
  <c r="C35" i="15" s="1"/>
  <c r="L50" i="17" l="1"/>
  <c r="L43" i="17"/>
  <c r="L44" i="17"/>
  <c r="L41" i="17"/>
  <c r="L46" i="17"/>
  <c r="L52" i="17"/>
  <c r="L56" i="17"/>
  <c r="L45" i="17"/>
  <c r="L42" i="17"/>
  <c r="L51" i="17"/>
  <c r="L49" i="17"/>
  <c r="L48" i="17"/>
  <c r="J51" i="17"/>
  <c r="J49" i="17"/>
  <c r="J46" i="17"/>
  <c r="J40" i="17"/>
  <c r="J42" i="17"/>
  <c r="J43" i="17"/>
  <c r="J39" i="17"/>
  <c r="J33" i="17"/>
  <c r="J36" i="17"/>
  <c r="J47" i="17"/>
  <c r="J56" i="17"/>
  <c r="J38" i="17"/>
  <c r="J52" i="17"/>
  <c r="J35" i="17"/>
  <c r="J37" i="17"/>
  <c r="J48" i="17"/>
  <c r="J45" i="17"/>
  <c r="J50" i="17"/>
  <c r="J34" i="17"/>
  <c r="J41" i="17"/>
  <c r="J44" i="17"/>
  <c r="I44" i="17"/>
  <c r="I23" i="17"/>
  <c r="I41" i="17"/>
  <c r="I38" i="17"/>
  <c r="I35" i="17"/>
  <c r="I18" i="17"/>
  <c r="I17" i="17"/>
  <c r="I20" i="17"/>
  <c r="I26" i="17"/>
  <c r="I25" i="17"/>
  <c r="I50" i="17"/>
  <c r="I49" i="17"/>
  <c r="I43" i="17"/>
  <c r="I45" i="17"/>
  <c r="I46" i="17"/>
  <c r="I24" i="17"/>
  <c r="I34" i="17"/>
  <c r="I33" i="17"/>
  <c r="I19" i="17"/>
  <c r="I39" i="17"/>
  <c r="I36" i="17"/>
  <c r="I42" i="17"/>
  <c r="I48" i="17"/>
  <c r="I31" i="17"/>
  <c r="I27" i="17"/>
  <c r="I40" i="17"/>
  <c r="I47" i="17"/>
  <c r="I51" i="17"/>
  <c r="I22" i="17"/>
  <c r="I52" i="17"/>
  <c r="I32" i="17"/>
  <c r="I29" i="17"/>
  <c r="I28" i="17"/>
  <c r="I37" i="17"/>
  <c r="I30" i="17"/>
  <c r="I21" i="17"/>
  <c r="K46" i="17"/>
  <c r="K41" i="17"/>
  <c r="K45" i="17"/>
  <c r="K50" i="17"/>
  <c r="K47" i="17"/>
  <c r="K49" i="17"/>
  <c r="K38" i="17"/>
  <c r="K56" i="17"/>
  <c r="K52" i="17"/>
  <c r="K44" i="17"/>
  <c r="K37" i="17"/>
  <c r="K39" i="17"/>
  <c r="K40" i="17"/>
  <c r="K43" i="17"/>
  <c r="K42" i="17"/>
  <c r="K51" i="17"/>
  <c r="K48" i="17"/>
  <c r="L47" i="17"/>
  <c r="I55" i="17" l="1"/>
  <c r="L55" i="17"/>
  <c r="J55" i="17"/>
  <c r="K55" i="17"/>
  <c r="L58" i="17" l="1"/>
  <c r="I18" i="15" s="1"/>
  <c r="E31" i="15" s="1"/>
  <c r="G31" i="15" s="1"/>
  <c r="E35" i="15" l="1"/>
  <c r="G35" i="15" s="1"/>
  <c r="E18" i="3" s="1"/>
  <c r="E36" i="15"/>
  <c r="G36" i="15" s="1"/>
  <c r="E19" i="3" s="1"/>
  <c r="E19" i="6" s="1"/>
  <c r="F19" i="6" s="1"/>
  <c r="H19" i="6" s="1"/>
  <c r="E40" i="15"/>
  <c r="G40" i="15" s="1"/>
  <c r="E23" i="3" s="1"/>
  <c r="F23" i="3" s="1"/>
  <c r="H23" i="3" s="1"/>
  <c r="E37" i="15"/>
  <c r="G37" i="15" s="1"/>
  <c r="E39" i="15"/>
  <c r="G39" i="15" s="1"/>
  <c r="E34" i="15"/>
  <c r="G34" i="15" s="1"/>
  <c r="E38" i="15"/>
  <c r="G38" i="15" s="1"/>
  <c r="E33" i="15"/>
  <c r="G33" i="15" s="1"/>
  <c r="E16" i="3" s="1"/>
  <c r="E16" i="6" s="1"/>
  <c r="F16" i="6" s="1"/>
  <c r="H16" i="6" s="1"/>
  <c r="E32" i="15"/>
  <c r="G32" i="15" s="1"/>
  <c r="E15" i="3" s="1"/>
  <c r="E15" i="6" s="1"/>
  <c r="F15" i="6" s="1"/>
  <c r="H15" i="6" s="1"/>
  <c r="E19" i="5"/>
  <c r="F19" i="5" s="1"/>
  <c r="H19" i="5" s="1"/>
  <c r="E14" i="3"/>
  <c r="E23" i="4" l="1"/>
  <c r="F23" i="4" s="1"/>
  <c r="H23" i="4" s="1"/>
  <c r="E15" i="5"/>
  <c r="F15" i="5" s="1"/>
  <c r="H15" i="5" s="1"/>
  <c r="E15" i="4"/>
  <c r="F15" i="4" s="1"/>
  <c r="H15" i="4" s="1"/>
  <c r="F15" i="3"/>
  <c r="H15" i="3" s="1"/>
  <c r="E21" i="3"/>
  <c r="E21" i="6" s="1"/>
  <c r="F21" i="6" s="1"/>
  <c r="H21" i="6" s="1"/>
  <c r="E17" i="3"/>
  <c r="F17" i="3" s="1"/>
  <c r="H17" i="3" s="1"/>
  <c r="E20" i="3"/>
  <c r="E20" i="6" s="1"/>
  <c r="F20" i="6" s="1"/>
  <c r="H20" i="6" s="1"/>
  <c r="E23" i="6"/>
  <c r="F23" i="6" s="1"/>
  <c r="H23" i="6" s="1"/>
  <c r="E23" i="5"/>
  <c r="F23" i="5" s="1"/>
  <c r="H23" i="5" s="1"/>
  <c r="E22" i="3"/>
  <c r="E22" i="4" s="1"/>
  <c r="F22" i="4" s="1"/>
  <c r="H22" i="4" s="1"/>
  <c r="F19" i="3"/>
  <c r="H19" i="3" s="1"/>
  <c r="F16" i="3"/>
  <c r="H16" i="3" s="1"/>
  <c r="E19" i="4"/>
  <c r="F19" i="4" s="1"/>
  <c r="H19" i="4" s="1"/>
  <c r="E16" i="4"/>
  <c r="F16" i="4" s="1"/>
  <c r="H16" i="4" s="1"/>
  <c r="E16" i="5"/>
  <c r="F16" i="5" s="1"/>
  <c r="H16" i="5" s="1"/>
  <c r="E18" i="6"/>
  <c r="F18" i="6" s="1"/>
  <c r="H18" i="6" s="1"/>
  <c r="F18" i="3"/>
  <c r="H18" i="3" s="1"/>
  <c r="E18" i="5"/>
  <c r="F18" i="5" s="1"/>
  <c r="H18" i="5" s="1"/>
  <c r="E18" i="4"/>
  <c r="F18" i="4" s="1"/>
  <c r="H18" i="4" s="1"/>
  <c r="E14" i="6"/>
  <c r="F14" i="6" s="1"/>
  <c r="F14" i="3"/>
  <c r="E14" i="5"/>
  <c r="F14" i="5" s="1"/>
  <c r="E14" i="4"/>
  <c r="F14" i="4" s="1"/>
  <c r="E21" i="5"/>
  <c r="F21" i="5" s="1"/>
  <c r="H21" i="5" s="1"/>
  <c r="E21" i="4"/>
  <c r="F21" i="4" s="1"/>
  <c r="H21" i="4" s="1"/>
  <c r="F21" i="3" l="1"/>
  <c r="H21" i="3" s="1"/>
  <c r="E17" i="6"/>
  <c r="F17" i="6" s="1"/>
  <c r="H17" i="6" s="1"/>
  <c r="E17" i="4"/>
  <c r="F17" i="4" s="1"/>
  <c r="H17" i="4" s="1"/>
  <c r="E20" i="5"/>
  <c r="F20" i="5" s="1"/>
  <c r="H20" i="5" s="1"/>
  <c r="E22" i="6"/>
  <c r="F22" i="6" s="1"/>
  <c r="H22" i="6" s="1"/>
  <c r="F22" i="3"/>
  <c r="H22" i="3" s="1"/>
  <c r="E17" i="5"/>
  <c r="F17" i="5" s="1"/>
  <c r="H17" i="5" s="1"/>
  <c r="E22" i="5"/>
  <c r="F22" i="5" s="1"/>
  <c r="H22" i="5" s="1"/>
  <c r="E20" i="4"/>
  <c r="F20" i="4" s="1"/>
  <c r="H20" i="4" s="1"/>
  <c r="F20" i="3"/>
  <c r="H20" i="3" s="1"/>
  <c r="H14" i="3"/>
  <c r="H14" i="4"/>
  <c r="H14" i="6"/>
  <c r="H14" i="5"/>
  <c r="F26" i="6" l="1"/>
  <c r="H26" i="6" s="1"/>
  <c r="E17" i="2" s="1"/>
  <c r="F26" i="5"/>
  <c r="H26" i="5" s="1"/>
  <c r="E16" i="2" s="1"/>
  <c r="F26" i="3"/>
  <c r="H26" i="3" s="1"/>
  <c r="E14" i="2" s="1"/>
  <c r="F26" i="4"/>
  <c r="H26" i="4" s="1"/>
  <c r="E15" i="2" s="1"/>
  <c r="E19" i="2" l="1"/>
  <c r="D19" i="1" s="1"/>
  <c r="D22" i="1" s="1"/>
  <c r="D21" i="1" l="1"/>
  <c r="D26" i="1"/>
  <c r="D15" i="1"/>
  <c r="D24" i="1"/>
  <c r="D23" i="1"/>
  <c r="C31" i="66"/>
  <c r="C31" i="37"/>
  <c r="C31" i="65"/>
  <c r="C31" i="35"/>
  <c r="B57" i="40" l="1"/>
  <c r="N26" i="1" l="1"/>
  <c r="N22" i="1"/>
  <c r="N24" i="1"/>
  <c r="N21" i="1"/>
  <c r="N23" i="1"/>
  <c r="E18" i="65" l="1"/>
  <c r="D18" i="65" s="1"/>
  <c r="E24" i="65"/>
  <c r="D24" i="65" s="1"/>
  <c r="E21" i="35"/>
  <c r="D21" i="35" s="1"/>
  <c r="E17" i="66"/>
  <c r="D17" i="66" s="1"/>
  <c r="E19" i="35"/>
  <c r="D19" i="35" s="1"/>
  <c r="E27" i="37"/>
  <c r="D27" i="37" s="1"/>
  <c r="E22" i="37"/>
  <c r="D22" i="37" s="1"/>
  <c r="E17" i="37"/>
  <c r="D17" i="37" s="1"/>
  <c r="E14" i="37"/>
  <c r="D14" i="37" s="1"/>
  <c r="E14" i="65"/>
  <c r="E25" i="35"/>
  <c r="D25" i="35" s="1"/>
  <c r="E16" i="35"/>
  <c r="D16" i="35" s="1"/>
  <c r="E17" i="65"/>
  <c r="D17" i="65" s="1"/>
  <c r="E22" i="66"/>
  <c r="D22" i="66" s="1"/>
  <c r="E18" i="35"/>
  <c r="D18" i="35" s="1"/>
  <c r="E24" i="37"/>
  <c r="D24" i="37" s="1"/>
  <c r="E18" i="66"/>
  <c r="D18" i="66" s="1"/>
  <c r="E23" i="66"/>
  <c r="D23" i="66" s="1"/>
  <c r="E15" i="65"/>
  <c r="D15" i="65" s="1"/>
  <c r="E19" i="65"/>
  <c r="D19" i="65" s="1"/>
  <c r="E24" i="35"/>
  <c r="D24" i="35" s="1"/>
  <c r="E15" i="35"/>
  <c r="D15" i="35" s="1"/>
  <c r="E19" i="37"/>
  <c r="D19" i="37" s="1"/>
  <c r="E25" i="65"/>
  <c r="D25" i="65" s="1"/>
  <c r="E16" i="37"/>
  <c r="D16" i="37" s="1"/>
  <c r="E28" i="37"/>
  <c r="D28" i="37" s="1"/>
  <c r="E23" i="37"/>
  <c r="D23" i="37" s="1"/>
  <c r="E26" i="37"/>
  <c r="D26" i="37" s="1"/>
  <c r="E26" i="65"/>
  <c r="D26" i="65" s="1"/>
  <c r="E19" i="66"/>
  <c r="D19" i="66" s="1"/>
  <c r="E27" i="66"/>
  <c r="D27" i="66" s="1"/>
  <c r="E16" i="65"/>
  <c r="D16" i="65" s="1"/>
  <c r="E24" i="66"/>
  <c r="D24" i="66" s="1"/>
  <c r="E20" i="35"/>
  <c r="D20" i="35" s="1"/>
  <c r="E14" i="35"/>
  <c r="E20" i="65"/>
  <c r="D20" i="65" s="1"/>
  <c r="E27" i="35"/>
  <c r="D27" i="35" s="1"/>
  <c r="E15" i="37"/>
  <c r="D15" i="37" s="1"/>
  <c r="E28" i="35"/>
  <c r="D28" i="35" s="1"/>
  <c r="E26" i="35"/>
  <c r="D26" i="35" s="1"/>
  <c r="E23" i="35"/>
  <c r="D23" i="35" s="1"/>
  <c r="E21" i="65"/>
  <c r="D21" i="65" s="1"/>
  <c r="E27" i="65"/>
  <c r="D27" i="65" s="1"/>
  <c r="E22" i="65"/>
  <c r="D22" i="65" s="1"/>
  <c r="E14" i="66"/>
  <c r="E25" i="66"/>
  <c r="D25" i="66" s="1"/>
  <c r="E21" i="37"/>
  <c r="D21" i="37" s="1"/>
  <c r="E23" i="65"/>
  <c r="D23" i="65" s="1"/>
  <c r="E21" i="66"/>
  <c r="D21" i="66" s="1"/>
  <c r="E16" i="66"/>
  <c r="D16" i="66" s="1"/>
  <c r="E20" i="37"/>
  <c r="D20" i="37" s="1"/>
  <c r="E18" i="37"/>
  <c r="D18" i="37" s="1"/>
  <c r="E28" i="65"/>
  <c r="D28" i="65" s="1"/>
  <c r="E20" i="66"/>
  <c r="D20" i="66" s="1"/>
  <c r="E28" i="66"/>
  <c r="D28" i="66" s="1"/>
  <c r="E25" i="37" l="1"/>
  <c r="D25" i="37" s="1"/>
  <c r="E26" i="66"/>
  <c r="D26" i="66" s="1"/>
  <c r="D14" i="65"/>
  <c r="E31" i="65"/>
  <c r="E17" i="35"/>
  <c r="D17" i="35" s="1"/>
  <c r="E22" i="35"/>
  <c r="D22" i="35" s="1"/>
  <c r="D14" i="35"/>
  <c r="D14" i="66"/>
  <c r="E15" i="66"/>
  <c r="D15" i="66" s="1"/>
  <c r="E31" i="37" l="1"/>
  <c r="D31" i="37" s="1"/>
  <c r="D31" i="65"/>
  <c r="E34" i="65"/>
  <c r="C19" i="27" s="1"/>
  <c r="E19" i="27" s="1"/>
  <c r="C23" i="1" s="1"/>
  <c r="E31" i="66"/>
  <c r="E31" i="35"/>
  <c r="E34" i="37" l="1"/>
  <c r="C18" i="27" s="1"/>
  <c r="E18" i="27" s="1"/>
  <c r="C22" i="1" s="1"/>
  <c r="E34" i="35"/>
  <c r="C17" i="27" s="1"/>
  <c r="D31" i="35"/>
  <c r="D31" i="66"/>
  <c r="E34" i="66"/>
  <c r="C20" i="27" s="1"/>
  <c r="E20" i="27" s="1"/>
  <c r="C24" i="1" s="1"/>
  <c r="E17" i="27" l="1"/>
  <c r="C21" i="1" s="1"/>
  <c r="C22" i="27"/>
  <c r="E22" i="27" s="1"/>
  <c r="C26" i="1" s="1"/>
  <c r="C15" i="1" l="1"/>
  <c r="F26" i="46"/>
  <c r="F31" i="46" s="1"/>
  <c r="F32" i="46" s="1"/>
  <c r="O2" i="1" l="1"/>
  <c r="B57" i="46"/>
  <c r="H32" i="46" l="1"/>
  <c r="H46" i="46"/>
  <c r="B56" i="46"/>
  <c r="B52" i="46"/>
  <c r="B53" i="46"/>
  <c r="B58" i="46"/>
  <c r="H36" i="46" l="1"/>
  <c r="H19" i="46"/>
  <c r="H23" i="46"/>
  <c r="H44" i="46" l="1"/>
  <c r="H48" i="46" s="1"/>
  <c r="G19" i="1" s="1"/>
  <c r="G24" i="1" l="1"/>
  <c r="G22" i="1"/>
  <c r="G21" i="1"/>
  <c r="G23" i="1"/>
  <c r="G15" i="1"/>
  <c r="G26" i="1" s="1"/>
  <c r="N19" i="1" l="1"/>
  <c r="N15" i="1" l="1"/>
  <c r="F17" i="67" l="1"/>
  <c r="F18" i="67" s="1"/>
  <c r="E17" i="67"/>
  <c r="E18" i="67" s="1"/>
  <c r="F13" i="67"/>
  <c r="F14" i="67" s="1"/>
  <c r="E13" i="67"/>
  <c r="E14" i="67" s="1"/>
  <c r="D13" i="67" l="1"/>
  <c r="D14" i="67" s="1"/>
  <c r="D17" i="67"/>
  <c r="D18" i="67" s="1"/>
  <c r="F20" i="67" l="1"/>
  <c r="E10" i="67"/>
  <c r="F10" i="67" l="1"/>
  <c r="E20" i="67"/>
  <c r="D20" i="67"/>
  <c r="D22" i="67" l="1"/>
  <c r="E22" i="67"/>
  <c r="F22" i="67"/>
  <c r="F24" i="67" l="1"/>
  <c r="F26" i="67" l="1"/>
  <c r="D26" i="67" l="1"/>
  <c r="D24" i="67"/>
  <c r="E26" i="67"/>
  <c r="H38" i="46" s="1"/>
  <c r="H42" i="46" s="1"/>
  <c r="E19" i="1" s="1"/>
  <c r="E24" i="67"/>
  <c r="E23" i="1" l="1"/>
  <c r="F23" i="1" s="1"/>
  <c r="H23" i="1" s="1"/>
  <c r="E24" i="1"/>
  <c r="F24" i="1" s="1"/>
  <c r="H24" i="1" s="1"/>
  <c r="E15" i="1"/>
  <c r="F15" i="1" s="1"/>
  <c r="H15" i="1" s="1"/>
  <c r="E26" i="1"/>
  <c r="F26" i="1" s="1"/>
  <c r="H26" i="1" s="1"/>
  <c r="F19" i="1"/>
  <c r="H19" i="1" s="1"/>
  <c r="E21" i="1"/>
  <c r="F21" i="1" s="1"/>
  <c r="H21" i="1" s="1"/>
  <c r="E22" i="1"/>
  <c r="F22" i="1" s="1"/>
  <c r="H22" i="1" s="1"/>
  <c r="P2" i="35" l="1"/>
  <c r="N1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<sst xmlns="http://schemas.openxmlformats.org/spreadsheetml/2006/main" count="1428" uniqueCount="500">
  <si>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</si>
  <si>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</si>
  <si>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</si>
  <si>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</si>
  <si>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</si>
  <si>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</si>
  <si>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</si>
  <si>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</si>
  <si>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</si>
  <si>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</si>
  <si>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</si>
  <si>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</si>
  <si>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</si>
  <si>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</si>
  <si>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</si>
  <si>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</si>
  <si>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</si>
  <si>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</si>
  <si>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</si>
  <si>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</si>
  <si>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</si>
  <si>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</si>
  <si>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</si>
  <si>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</si>
  <si>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</si>
  <si>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</si>
  <si>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</si>
  <si>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</si>
  <si>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</si>
  <si>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</si>
  <si>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</si>
  <si>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Tier 1 -- Territory 8 (Galveston County)</t>
  </si>
  <si>
    <t>Sheet 2a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</si>
  <si>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</si>
  <si>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</si>
  <si>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</si>
  <si>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</si>
  <si>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</si>
  <si>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</si>
  <si>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</si>
  <si>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</si>
  <si>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</si>
  <si>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</si>
  <si>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</si>
  <si>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</si>
  <si>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Sheet 2b</t>
  </si>
  <si>
    <t>Tier 1 -- Territory 10 (Other Tier 1)</t>
  </si>
  <si>
    <t>Sheet 2c</t>
  </si>
  <si>
    <t>Sheet 2d</t>
  </si>
  <si>
    <t>Tier 2 -- (Territories 1 and 11)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</si>
  <si>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</si>
  <si>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</si>
  <si>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</si>
  <si>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</si>
  <si>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</si>
  <si>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</si>
  <si>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</si>
  <si>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</si>
  <si>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</si>
  <si>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</si>
  <si>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</si>
  <si>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</si>
  <si>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</si>
  <si>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</si>
  <si>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</si>
  <si>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</si>
  <si>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</si>
  <si>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</si>
  <si>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</si>
  <si>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</si>
  <si>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</si>
  <si>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</si>
  <si>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</si>
  <si>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</si>
  <si>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</si>
  <si>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</si>
  <si>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</si>
  <si>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</si>
  <si>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</si>
  <si>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</si>
  <si>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</si>
  <si>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</si>
  <si>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Incurred</t>
  </si>
  <si>
    <t>Sheet 3</t>
  </si>
  <si>
    <t>Incurred Loss Development Factors</t>
  </si>
  <si>
    <t>Sheet 4</t>
  </si>
  <si>
    <t>Sheet 5</t>
  </si>
  <si>
    <t>Summary of Indicated Hurricane Loss &amp; LAE Ratios</t>
  </si>
  <si>
    <t>Exhibit 5</t>
  </si>
  <si>
    <t>Basis for Hurricane Loss Ratio</t>
  </si>
  <si>
    <t>Hurricane Models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</si>
  <si>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</si>
  <si>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</si>
  <si>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</si>
  <si>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</si>
  <si>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</si>
  <si>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</si>
  <si>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</si>
  <si>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</si>
  <si>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1999</t>
  </si>
  <si>
    <t>(10)</t>
  </si>
  <si>
    <t>Start</t>
  </si>
  <si>
    <t>End</t>
  </si>
  <si>
    <t>Simple Average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</si>
  <si>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</si>
  <si>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</si>
  <si>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</si>
  <si>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</si>
  <si>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</si>
  <si>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</si>
  <si>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</si>
  <si>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</si>
  <si>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</si>
  <si>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</si>
  <si>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</si>
  <si>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</si>
  <si>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</si>
  <si>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</si>
  <si>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</si>
  <si>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</si>
  <si>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</si>
  <si>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</si>
  <si>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</si>
  <si>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</si>
  <si>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</si>
  <si>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</si>
  <si>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</si>
  <si>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</si>
  <si>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</si>
  <si>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</si>
  <si>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</si>
  <si>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</si>
  <si>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</si>
  <si>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</si>
  <si>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</si>
  <si>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</si>
  <si>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</si>
  <si>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</si>
  <si>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</si>
  <si>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</si>
  <si>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</si>
  <si>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</si>
  <si>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</si>
  <si>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</si>
  <si>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</si>
  <si>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</si>
  <si>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</si>
  <si>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</si>
  <si>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</si>
  <si>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</si>
  <si>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</si>
  <si>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</si>
  <si>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</si>
  <si>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Exhibit 8</t>
  </si>
  <si>
    <t>Exhibit 9</t>
  </si>
  <si>
    <t>Hurricane Loss Ratio -- RMS Model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</si>
  <si>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</si>
  <si>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</si>
  <si>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</si>
  <si>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</si>
  <si>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</si>
  <si>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</si>
  <si>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</si>
  <si>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</si>
  <si>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</si>
  <si>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</si>
  <si>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</si>
  <si>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</si>
  <si>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</si>
  <si>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</si>
  <si>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</si>
  <si>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</si>
  <si>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</si>
  <si>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</si>
  <si>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</si>
  <si>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</si>
  <si>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</si>
  <si>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</si>
  <si>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</si>
  <si>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</si>
  <si>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</si>
  <si>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</si>
  <si>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</si>
  <si>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</si>
  <si>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</si>
  <si>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</si>
  <si>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</si>
  <si>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</si>
  <si>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</si>
  <si>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</si>
  <si>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</si>
  <si>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</si>
  <si>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</si>
  <si>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</si>
  <si>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</si>
  <si>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</si>
  <si>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</si>
  <si>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</si>
  <si>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</si>
  <si>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</si>
  <si>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</si>
  <si>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In-Force</t>
  </si>
  <si>
    <t>Trend Length</t>
  </si>
  <si>
    <t>Selected Premium Trend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</si>
  <si>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</si>
  <si>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</si>
  <si>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</si>
  <si>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</si>
  <si>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</si>
  <si>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</si>
  <si>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</si>
  <si>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</si>
  <si>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</si>
  <si>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</si>
  <si>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</si>
  <si>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</si>
  <si>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</si>
  <si>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</si>
  <si>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</si>
  <si>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</si>
  <si>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</si>
  <si>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</si>
  <si>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</si>
  <si>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</si>
  <si>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</si>
  <si>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</si>
  <si>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</si>
  <si>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</si>
  <si>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</si>
  <si>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</si>
  <si>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</si>
  <si>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</si>
  <si>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</si>
  <si>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</si>
  <si>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</si>
  <si>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</si>
  <si>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</si>
  <si>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</si>
  <si>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</si>
  <si>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</si>
  <si>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</si>
  <si>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</si>
  <si>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</si>
  <si>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</si>
  <si>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</si>
  <si>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</si>
  <si>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</si>
  <si>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</si>
  <si>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</si>
  <si>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</si>
  <si>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</si>
  <si>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</si>
  <si>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</si>
  <si>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</si>
  <si>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</si>
  <si>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</si>
  <si>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</si>
  <si>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</si>
  <si>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</si>
  <si>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</si>
  <si>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</si>
  <si>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</si>
  <si>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</si>
  <si>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</si>
  <si>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</si>
  <si>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All-Year</t>
  </si>
  <si>
    <t>Correlation Coefficient</t>
  </si>
  <si>
    <t>Average Annual Change</t>
  </si>
  <si>
    <t>(16)</t>
  </si>
  <si>
    <t>Factors</t>
  </si>
  <si>
    <t>Landfall</t>
  </si>
  <si>
    <t>Month</t>
  </si>
  <si>
    <t>Exhibit 7</t>
  </si>
  <si>
    <t>2007</t>
  </si>
  <si>
    <t>2008</t>
  </si>
  <si>
    <t>Using Experience and Models</t>
  </si>
  <si>
    <t>Development of Reinsurer Expense</t>
  </si>
  <si>
    <t>Reinsurance Contract</t>
  </si>
  <si>
    <t>Effective</t>
  </si>
  <si>
    <t>Expiring</t>
  </si>
  <si>
    <t>(2a)</t>
  </si>
  <si>
    <t>Hurricane Model</t>
  </si>
  <si>
    <t>(2b)</t>
  </si>
  <si>
    <t>Average Annual Loss by Reinsurance Layer (RMS)</t>
  </si>
  <si>
    <t>(2c)</t>
  </si>
  <si>
    <t>Selected Total Average Annual Loss</t>
  </si>
  <si>
    <t>Net Cost of Reinsurance</t>
  </si>
  <si>
    <t>Indicated Reinsurance Expense %</t>
  </si>
  <si>
    <t>TWIA</t>
  </si>
  <si>
    <t>to Current</t>
  </si>
  <si>
    <t>Litigation cost reduction</t>
  </si>
  <si>
    <t/>
  </si>
  <si>
    <t>at</t>
  </si>
  <si>
    <t xml:space="preserve"> </t>
  </si>
  <si>
    <t>Selected Cumulative</t>
  </si>
  <si>
    <t xml:space="preserve"> to incorporate the statutory limitations on litigation cost that House Bill 3 provides</t>
  </si>
  <si>
    <t>Exposure</t>
  </si>
  <si>
    <t>Quarterly</t>
  </si>
  <si>
    <t>Permissible Loss, LAE and Fixed Expense Ratio</t>
  </si>
  <si>
    <t>(6) update to latest year</t>
  </si>
  <si>
    <t>Number of Hurricanes</t>
  </si>
  <si>
    <t>During the Year</t>
  </si>
  <si>
    <t>Hurricane Year</t>
  </si>
  <si>
    <t>Per Hurricane</t>
  </si>
  <si>
    <t>Statewide Industry Extended Coverage Dwelling Incurred Loss</t>
  </si>
  <si>
    <t>Rate Factor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</si>
  <si>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</si>
  <si>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</si>
  <si>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</si>
  <si>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</si>
  <si>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</si>
  <si>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</si>
  <si>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</si>
  <si>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</si>
  <si>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</si>
  <si>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</si>
  <si>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</si>
  <si>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</si>
  <si>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</si>
  <si>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</si>
  <si>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</si>
  <si>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</si>
  <si>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</si>
  <si>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</si>
  <si>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</si>
  <si>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</si>
  <si>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</si>
  <si>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</si>
  <si>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</si>
  <si>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</si>
  <si>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</si>
  <si>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</si>
  <si>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</si>
  <si>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</si>
  <si>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</si>
  <si>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</si>
  <si>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</si>
  <si>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</si>
  <si>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</si>
  <si>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OLFs</t>
  </si>
  <si>
    <t>1968</t>
  </si>
  <si>
    <t>(4) = MAX((3)-(5),0)/(2)</t>
  </si>
  <si>
    <t>Table of Contents</t>
  </si>
  <si>
    <t>Main Heading</t>
  </si>
  <si>
    <t xml:space="preserve">Exhibit </t>
  </si>
  <si>
    <t>Sheet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</si>
  <si>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</si>
  <si>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</si>
  <si>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</si>
  <si>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</si>
  <si>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</si>
  <si>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</si>
  <si>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</si>
  <si>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</si>
  <si>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</si>
  <si>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</si>
  <si>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</si>
  <si>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</si>
  <si>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3.2 premium trend</t>
  </si>
  <si>
    <t>3.3a</t>
  </si>
  <si>
    <t>3.3b</t>
  </si>
  <si>
    <t>3.3c</t>
  </si>
  <si>
    <t>3.3d</t>
  </si>
  <si>
    <t>Keep most recent 10 years</t>
  </si>
  <si>
    <t>AI</t>
  </si>
  <si>
    <t>Only include latest 10 years</t>
  </si>
  <si>
    <t>LDF 3.1b</t>
  </si>
  <si>
    <t>10 most recent years</t>
  </si>
  <si>
    <t>Update column (2)</t>
  </si>
  <si>
    <t>x</t>
  </si>
  <si>
    <t>Update Column (2)</t>
  </si>
  <si>
    <t>Update Cell N8</t>
  </si>
  <si>
    <t>Update columns (2), (3), (4)</t>
  </si>
  <si>
    <t>Update Cell N9</t>
  </si>
  <si>
    <t>Add most recent year</t>
  </si>
  <si>
    <t>Update the total row</t>
  </si>
  <si>
    <t>Update formulas to link to latest year's commercial rate indication workbook</t>
  </si>
  <si>
    <t>Add new row for most recent year</t>
  </si>
  <si>
    <t>Update link to most recent data workbook</t>
  </si>
  <si>
    <t>Update Total column to include most recent year</t>
  </si>
  <si>
    <t>Add new hurricanes, if any</t>
  </si>
  <si>
    <t>Update hurricane count formula</t>
  </si>
  <si>
    <t>Add new row to include latest accident year</t>
  </si>
  <si>
    <t>Include hurricane indicator if applicable</t>
  </si>
  <si>
    <t>Update total row to include latest row</t>
  </si>
  <si>
    <t>Update print area</t>
  </si>
  <si>
    <t>Update Average Earned Date</t>
  </si>
  <si>
    <t>Update Average Accident Date</t>
  </si>
  <si>
    <t>Average of All Models</t>
  </si>
  <si>
    <t>AJ</t>
  </si>
  <si>
    <t>Add new row for latest accident year</t>
  </si>
  <si>
    <t>Update total row to include latest accident year</t>
  </si>
  <si>
    <t>Update on-level factor column (4)</t>
  </si>
  <si>
    <t>Update litigation cost reduction</t>
  </si>
  <si>
    <t>Update average row to include latest accident year</t>
  </si>
  <si>
    <t>Update row (8) to latest year</t>
  </si>
  <si>
    <t>Update column (7) with most updated LDFs</t>
  </si>
  <si>
    <t>Update LDF 3.1b table</t>
  </si>
  <si>
    <t>2020</t>
  </si>
  <si>
    <t>2021</t>
  </si>
  <si>
    <t>2017</t>
  </si>
  <si>
    <t>Add latest accident year, if applicable</t>
  </si>
  <si>
    <t>Update formula for (6)</t>
  </si>
  <si>
    <t>Update links to latest data workbook</t>
  </si>
  <si>
    <t>Copy and paste previous year's selected LDFs</t>
  </si>
  <si>
    <t>Update link to latest data workbook</t>
  </si>
  <si>
    <t>Update links to latest workbook for column (2)</t>
  </si>
  <si>
    <t>Update indices to refer to correct year for column (3)</t>
  </si>
  <si>
    <t>Update links to external files</t>
  </si>
  <si>
    <t>Copied from accounting or previous analysis</t>
  </si>
  <si>
    <t>Tentative, will be updated when available</t>
  </si>
  <si>
    <t>AK</t>
  </si>
  <si>
    <t>RMS</t>
  </si>
  <si>
    <t>Hurricane Loss Ratio -- Impact Forecasting Model</t>
  </si>
  <si>
    <t>Impact Forecasting</t>
  </si>
  <si>
    <t>Hurricane Loss Ratio -- CoreLogic RQE Model</t>
  </si>
  <si>
    <t>Indicated Rate Change</t>
  </si>
  <si>
    <t>Rate Change</t>
  </si>
  <si>
    <t>Hurricane Loss Ratio -- Verisk (AIR) Model</t>
  </si>
  <si>
    <t>Update formula for (5)</t>
  </si>
  <si>
    <t>Verisk</t>
  </si>
  <si>
    <t>Indicated Premium Trend</t>
  </si>
  <si>
    <t>Using Average of Verisk and RMS Hurricane Models</t>
  </si>
  <si>
    <t>Average Annual Loss by Reinsurance Layer (Verisk)</t>
  </si>
  <si>
    <t>Update item (5): Inforce Premium at Present Rates</t>
  </si>
  <si>
    <t>2024 Rate Level Review</t>
  </si>
  <si>
    <t>AL</t>
  </si>
  <si>
    <t>Use the table below for 2002 and prior</t>
  </si>
  <si>
    <t>Schedule P</t>
  </si>
  <si>
    <t>Direct &amp; Assumed</t>
  </si>
  <si>
    <t>Ultimate Loss</t>
  </si>
  <si>
    <t>Evaluation</t>
  </si>
  <si>
    <t>Age</t>
  </si>
  <si>
    <t>in Months</t>
  </si>
  <si>
    <t>Interpolated</t>
  </si>
  <si>
    <t>Sheet 3e</t>
  </si>
  <si>
    <t>Interpolation of Development Factors</t>
  </si>
  <si>
    <t>2.3e</t>
  </si>
  <si>
    <t>Model Version: CoreLogic Risk Quantification &amp; Engineering (RQE) v23 North Atlantic Hurricane (HU) and Severe Convective Storm (SCS)</t>
  </si>
  <si>
    <t>Model Version: Impact Forecasting ELEMENTS 18.0 Atlantic Tropical Cyclone and Severe Convective Storm</t>
  </si>
  <si>
    <t>Model Version: RMS RiskLink 23.0 Windstorm/Hurricane and Convective Storm (WS/CS)</t>
  </si>
  <si>
    <t>Model Version: Verisk Touchstone 10.0 Tropical Cyclone (TC) and Severe Thunderstorm (ST)</t>
  </si>
  <si>
    <t>Expenses and Variable Permissible Loss &amp; LAE Ratios</t>
  </si>
  <si>
    <t>Average Hurricane Loss Ratio per Hurricane</t>
  </si>
  <si>
    <t xml:space="preserve">3.1 ldf </t>
  </si>
  <si>
    <t>9.1a</t>
  </si>
  <si>
    <t>9.1b</t>
  </si>
  <si>
    <t>9.1c</t>
  </si>
  <si>
    <t>9.1d</t>
  </si>
  <si>
    <t>Non-Hurricane Loss Ratio</t>
  </si>
  <si>
    <t>Summary by Territory</t>
  </si>
  <si>
    <t>Tab Label</t>
  </si>
  <si>
    <t>Sub-Heading</t>
  </si>
  <si>
    <t>CoreLogic RQE</t>
  </si>
  <si>
    <t>At Present Rates</t>
  </si>
  <si>
    <t>Update Prospective Average Earned  / Accident Date</t>
  </si>
  <si>
    <t>On-Level</t>
  </si>
  <si>
    <t>Developed Weighted</t>
  </si>
  <si>
    <t>WPPR</t>
  </si>
  <si>
    <t>Annualized</t>
  </si>
  <si>
    <t>TWIA Residential Written Premium at Present Rates (WPPR)</t>
  </si>
  <si>
    <t>(7) Four-quarter rolling average written premium</t>
  </si>
  <si>
    <t>(6) = (5) / (2). WPPR = Written Premium at Present Rates</t>
  </si>
  <si>
    <t>Development of LAE Factor Using TWIA Commercial + Residential Experience</t>
  </si>
  <si>
    <t>Jun</t>
  </si>
  <si>
    <t>Sep</t>
  </si>
  <si>
    <t>Jul</t>
  </si>
  <si>
    <t>“Matagorda”</t>
  </si>
  <si>
    <t>“Sabine River-Lake Calcasieu”</t>
  </si>
  <si>
    <t>Aug</t>
  </si>
  <si>
    <t>Oct</t>
  </si>
  <si>
    <t>“Galveston”</t>
  </si>
  <si>
    <t>“Lower Texas Coast"</t>
  </si>
  <si>
    <t>Audrey</t>
  </si>
  <si>
    <t>“Indianola”</t>
  </si>
  <si>
    <t>Debra</t>
  </si>
  <si>
    <t>Carla</t>
  </si>
  <si>
    <t>Cindy</t>
  </si>
  <si>
    <t>Beulah</t>
  </si>
  <si>
    <t>Celia</t>
  </si>
  <si>
    <t>Fern</t>
  </si>
  <si>
    <t>Allen</t>
  </si>
  <si>
    <t>Alicia</t>
  </si>
  <si>
    <t>Bonnie</t>
  </si>
  <si>
    <t>Chantal</t>
  </si>
  <si>
    <t>“Velasco”</t>
  </si>
  <si>
    <t>Jerry</t>
  </si>
  <si>
    <t>Bret</t>
  </si>
  <si>
    <t>Claudette</t>
  </si>
  <si>
    <t>Rita</t>
  </si>
  <si>
    <t>Humberto</t>
  </si>
  <si>
    <t>Dolly</t>
  </si>
  <si>
    <t>Ike</t>
  </si>
  <si>
    <t>Harvey</t>
  </si>
  <si>
    <t>Hanna</t>
  </si>
  <si>
    <t>Laura</t>
  </si>
  <si>
    <t>Delta</t>
  </si>
  <si>
    <t>“Freeport”</t>
  </si>
  <si>
    <t>Nicholas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</si>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</sst>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_(&quot;$&quot;* #,##0.00_);_(&quot;$&quot;* \(#,##0.00\);_(&quot;$&quot;* &quot;0.00&quot;_);_(@_)"/>
    <numFmt numFmtId="172" formatCode="_(* #,##0.00_);_(* \(#,##0.00\);_(* &quot;0.00&quot;_);_(@_)"/>
    <numFmt numFmtId="173" formatCode="_(* #,##0.000_);_(* \(#,##0.000\);_(* &quot;0.000&quot;_);_(@_)"/>
    <numFmt numFmtId="174" formatCode="_(&quot;$&quot;* #,##0.0_);_(&quot;$&quot;* \(#,##0.0\);_(&quot;$&quot;* &quot;0.0&quot;_);_(@_)"/>
    <numFmt numFmtId="175" formatCode="_(* #,##0.0_);_(* \(#,##0.0\);_(* &quot;0.0&quot;_);_(@_)"/>
    <numFmt numFmtId="176" formatCode="_(* #,##0.00000_);_(* \(#,##0.00000\);_(* &quot;0.00000&quot;_);_(@_)"/>
    <numFmt numFmtId="177" formatCode="0.0000000000000000%"/>
    <numFmt numFmtId="178" formatCode="\+0.0%;\-0.0%;0.0%"/>
    <numFmt numFmtId="179" formatCode="0.00000%"/>
    <numFmt numFmtId="180" formatCode="_(* #,##0.0_);_(* \(#,##0.0\);_(* &quot;-&quot;??_);_(@_)"/>
    <numFmt numFmtId="181" formatCode="_(* #,##0.000_);_(* \(#,##0.000\);_(* &quot;-&quot;??_);_(@_)"/>
  </numFmts>
  <fonts count="25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theme="0" tint="-0.14999847407452621"/>
      <name val="Arial"/>
      <family val="2"/>
    </font>
    <font>
      <sz val="8"/>
      <color rgb="FF7030A0"/>
      <name val="Arial"/>
      <family val="2"/>
    </font>
    <font>
      <sz val="8"/>
      <color theme="0" tint="-0.249977111117893"/>
      <name val="Arial"/>
      <family val="2"/>
    </font>
    <font>
      <sz val="8"/>
      <color rgb="FF7030A0"/>
      <name val="Wingdings"/>
      <charset val="2"/>
    </font>
    <font>
      <sz val="8"/>
      <color rgb="FFFF0000"/>
      <name val="Wingdings"/>
      <charset val="2"/>
    </font>
    <font>
      <sz val="8"/>
      <name val="Wingdings"/>
      <charset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5" fontId="9" fillId="0" borderId="0"/>
    <xf numFmtId="172" fontId="9" fillId="0" borderId="0"/>
    <xf numFmtId="173" fontId="9" fillId="0" borderId="0"/>
    <xf numFmtId="176" fontId="9" fillId="0" borderId="0"/>
    <xf numFmtId="174" fontId="9" fillId="0" borderId="0"/>
    <xf numFmtId="171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24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4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3" fontId="4" fillId="0" borderId="0" xfId="0" applyNumberFormat="1" applyFont="1"/>
    <xf numFmtId="3" fontId="4" fillId="0" borderId="7" xfId="0" applyNumberFormat="1" applyFont="1" applyBorder="1"/>
    <xf numFmtId="166" fontId="4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5" fillId="0" borderId="0" xfId="0" applyNumberFormat="1" applyFont="1"/>
    <xf numFmtId="167" fontId="4" fillId="0" borderId="0" xfId="0" applyNumberFormat="1" applyFont="1"/>
    <xf numFmtId="167" fontId="4" fillId="0" borderId="7" xfId="0" applyNumberFormat="1" applyFont="1" applyBorder="1"/>
    <xf numFmtId="167" fontId="0" fillId="0" borderId="0" xfId="0" applyNumberFormat="1"/>
    <xf numFmtId="167" fontId="6" fillId="0" borderId="0" xfId="0" applyNumberFormat="1" applyFont="1"/>
    <xf numFmtId="166" fontId="5" fillId="0" borderId="0" xfId="0" applyNumberFormat="1" applyFont="1"/>
    <xf numFmtId="14" fontId="4" fillId="0" borderId="0" xfId="0" applyNumberFormat="1" applyFont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164" fontId="4" fillId="0" borderId="0" xfId="0" applyNumberFormat="1" applyFont="1"/>
    <xf numFmtId="164" fontId="5" fillId="0" borderId="0" xfId="0" applyNumberFormat="1" applyFont="1"/>
    <xf numFmtId="0" fontId="0" fillId="0" borderId="0" xfId="0" quotePrefix="1" applyAlignment="1">
      <alignment horizontal="center"/>
    </xf>
    <xf numFmtId="166" fontId="4" fillId="0" borderId="7" xfId="0" applyNumberFormat="1" applyFont="1" applyBorder="1"/>
    <xf numFmtId="3" fontId="5" fillId="0" borderId="7" xfId="0" applyNumberFormat="1" applyFont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Border="1"/>
    <xf numFmtId="170" fontId="4" fillId="0" borderId="0" xfId="9" applyNumberFormat="1" applyFont="1" applyFill="1"/>
    <xf numFmtId="0" fontId="6" fillId="0" borderId="0" xfId="0" applyFont="1"/>
    <xf numFmtId="14" fontId="6" fillId="0" borderId="0" xfId="0" applyNumberFormat="1" applyFont="1"/>
    <xf numFmtId="3" fontId="7" fillId="0" borderId="0" xfId="0" applyNumberFormat="1" applyFont="1"/>
    <xf numFmtId="3" fontId="7" fillId="0" borderId="7" xfId="0" applyNumberFormat="1" applyFont="1" applyBorder="1"/>
    <xf numFmtId="14" fontId="7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/>
    <xf numFmtId="0" fontId="4" fillId="0" borderId="0" xfId="0" applyFont="1" applyAlignment="1">
      <alignment horizontal="left"/>
    </xf>
    <xf numFmtId="14" fontId="5" fillId="0" borderId="0" xfId="0" applyNumberFormat="1" applyFont="1"/>
    <xf numFmtId="164" fontId="7" fillId="0" borderId="0" xfId="0" applyNumberFormat="1" applyFont="1"/>
    <xf numFmtId="166" fontId="6" fillId="0" borderId="0" xfId="0" applyNumberFormat="1" applyFont="1"/>
    <xf numFmtId="0" fontId="4" fillId="0" borderId="0" xfId="0" quotePrefix="1" applyFont="1"/>
    <xf numFmtId="0" fontId="4" fillId="0" borderId="0" xfId="8"/>
    <xf numFmtId="3" fontId="7" fillId="0" borderId="0" xfId="8" applyNumberFormat="1" applyFont="1"/>
    <xf numFmtId="2" fontId="4" fillId="0" borderId="0" xfId="0" applyNumberFormat="1" applyFont="1"/>
    <xf numFmtId="14" fontId="0" fillId="0" borderId="7" xfId="0" applyNumberFormat="1" applyBorder="1"/>
    <xf numFmtId="2" fontId="4" fillId="0" borderId="7" xfId="0" applyNumberFormat="1" applyFont="1" applyBorder="1"/>
    <xf numFmtId="0" fontId="7" fillId="0" borderId="0" xfId="0" applyFont="1"/>
    <xf numFmtId="167" fontId="5" fillId="0" borderId="0" xfId="0" applyNumberFormat="1" applyFont="1"/>
    <xf numFmtId="2" fontId="6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0" borderId="0" xfId="0" applyNumberFormat="1" applyFont="1"/>
    <xf numFmtId="164" fontId="5" fillId="0" borderId="0" xfId="9" applyNumberFormat="1" applyFont="1" applyFill="1"/>
    <xf numFmtId="1" fontId="4" fillId="0" borderId="0" xfId="0" applyNumberFormat="1" applyFont="1"/>
    <xf numFmtId="0" fontId="6" fillId="0" borderId="0" xfId="0" applyFont="1" applyAlignment="1">
      <alignment horizontal="left"/>
    </xf>
    <xf numFmtId="4" fontId="4" fillId="0" borderId="0" xfId="0" applyNumberFormat="1" applyFont="1"/>
    <xf numFmtId="170" fontId="4" fillId="0" borderId="0" xfId="9" applyNumberFormat="1" applyFont="1" applyFill="1" applyBorder="1"/>
    <xf numFmtId="167" fontId="7" fillId="0" borderId="0" xfId="0" applyNumberFormat="1" applyFont="1"/>
    <xf numFmtId="0" fontId="4" fillId="0" borderId="7" xfId="0" applyFont="1" applyBorder="1"/>
    <xf numFmtId="4" fontId="0" fillId="0" borderId="7" xfId="0" applyNumberFormat="1" applyBorder="1"/>
    <xf numFmtId="177" fontId="0" fillId="0" borderId="0" xfId="0" applyNumberFormat="1"/>
    <xf numFmtId="4" fontId="4" fillId="0" borderId="7" xfId="0" applyNumberFormat="1" applyFont="1" applyBorder="1"/>
    <xf numFmtId="0" fontId="7" fillId="0" borderId="7" xfId="0" applyFont="1" applyBorder="1"/>
    <xf numFmtId="166" fontId="4" fillId="0" borderId="0" xfId="0" applyNumberFormat="1" applyFont="1" applyAlignment="1">
      <alignment horizontal="left"/>
    </xf>
    <xf numFmtId="164" fontId="4" fillId="0" borderId="7" xfId="9" applyNumberFormat="1" applyFont="1" applyBorder="1"/>
    <xf numFmtId="0" fontId="5" fillId="0" borderId="0" xfId="0" applyFont="1" applyAlignment="1">
      <alignment horizontal="left"/>
    </xf>
    <xf numFmtId="2" fontId="7" fillId="0" borderId="7" xfId="0" applyNumberFormat="1" applyFont="1" applyBorder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166" fontId="0" fillId="0" borderId="6" xfId="0" applyNumberFormat="1" applyBorder="1"/>
    <xf numFmtId="166" fontId="6" fillId="0" borderId="7" xfId="0" applyNumberFormat="1" applyFont="1" applyBorder="1"/>
    <xf numFmtId="170" fontId="0" fillId="0" borderId="0" xfId="9" applyNumberFormat="1" applyFont="1" applyFill="1" applyBorder="1"/>
    <xf numFmtId="164" fontId="11" fillId="0" borderId="0" xfId="9" applyNumberFormat="1" applyFont="1" applyFill="1"/>
    <xf numFmtId="166" fontId="12" fillId="0" borderId="0" xfId="0" applyNumberFormat="1" applyFont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" fontId="0" fillId="0" borderId="0" xfId="0" applyNumberFormat="1"/>
    <xf numFmtId="3" fontId="11" fillId="0" borderId="0" xfId="0" applyNumberFormat="1" applyFont="1"/>
    <xf numFmtId="164" fontId="0" fillId="0" borderId="0" xfId="9" applyNumberFormat="1" applyFont="1" applyFill="1" applyBorder="1"/>
    <xf numFmtId="4" fontId="0" fillId="0" borderId="0" xfId="0" applyNumberFormat="1"/>
    <xf numFmtId="3" fontId="11" fillId="0" borderId="0" xfId="0" applyNumberFormat="1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49" fontId="0" fillId="0" borderId="0" xfId="0" applyNumberFormat="1"/>
    <xf numFmtId="3" fontId="13" fillId="0" borderId="0" xfId="0" applyNumberFormat="1" applyFont="1"/>
    <xf numFmtId="3" fontId="11" fillId="0" borderId="7" xfId="0" applyNumberFormat="1" applyFont="1" applyBorder="1"/>
    <xf numFmtId="164" fontId="11" fillId="0" borderId="7" xfId="9" applyNumberFormat="1" applyFont="1" applyFill="1" applyBorder="1"/>
    <xf numFmtId="14" fontId="0" fillId="0" borderId="0" xfId="0" applyNumberFormat="1" applyAlignment="1">
      <alignment horizontal="right"/>
    </xf>
    <xf numFmtId="179" fontId="4" fillId="0" borderId="0" xfId="0" applyNumberFormat="1" applyFont="1"/>
    <xf numFmtId="0" fontId="0" fillId="0" borderId="7" xfId="0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0" fontId="13" fillId="0" borderId="0" xfId="0" quotePrefix="1" applyFont="1"/>
    <xf numFmtId="0" fontId="13" fillId="0" borderId="0" xfId="0" applyFont="1"/>
    <xf numFmtId="167" fontId="4" fillId="0" borderId="0" xfId="0" applyNumberFormat="1" applyFont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6" fillId="0" borderId="6" xfId="0" applyNumberFormat="1" applyFont="1" applyBorder="1"/>
    <xf numFmtId="3" fontId="14" fillId="0" borderId="0" xfId="0" applyNumberFormat="1" applyFont="1"/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43" fontId="0" fillId="0" borderId="0" xfId="1" applyFont="1"/>
    <xf numFmtId="164" fontId="14" fillId="0" borderId="0" xfId="0" applyNumberFormat="1" applyFont="1"/>
    <xf numFmtId="3" fontId="4" fillId="0" borderId="0" xfId="0" applyNumberFormat="1" applyFont="1" applyAlignment="1">
      <alignment horizontal="center"/>
    </xf>
    <xf numFmtId="0" fontId="2" fillId="0" borderId="7" xfId="0" applyFont="1" applyBorder="1"/>
    <xf numFmtId="164" fontId="0" fillId="0" borderId="6" xfId="0" applyNumberFormat="1" applyBorder="1"/>
    <xf numFmtId="0" fontId="0" fillId="0" borderId="13" xfId="0" applyBorder="1"/>
    <xf numFmtId="0" fontId="0" fillId="0" borderId="13" xfId="0" applyBorder="1" applyAlignment="1">
      <alignment horizontal="left"/>
    </xf>
    <xf numFmtId="3" fontId="7" fillId="0" borderId="13" xfId="0" applyNumberFormat="1" applyFont="1" applyBorder="1"/>
    <xf numFmtId="166" fontId="7" fillId="0" borderId="13" xfId="0" applyNumberFormat="1" applyFont="1" applyBorder="1"/>
    <xf numFmtId="3" fontId="4" fillId="0" borderId="13" xfId="0" applyNumberFormat="1" applyFont="1" applyBorder="1"/>
    <xf numFmtId="164" fontId="4" fillId="0" borderId="13" xfId="9" applyNumberFormat="1" applyFont="1" applyFill="1" applyBorder="1"/>
    <xf numFmtId="0" fontId="16" fillId="0" borderId="0" xfId="0" applyFont="1"/>
    <xf numFmtId="3" fontId="0" fillId="0" borderId="13" xfId="0" applyNumberFormat="1" applyBorder="1"/>
    <xf numFmtId="164" fontId="13" fillId="0" borderId="0" xfId="0" applyNumberFormat="1" applyFont="1"/>
    <xf numFmtId="2" fontId="17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167" fontId="17" fillId="0" borderId="0" xfId="0" applyNumberFormat="1" applyFont="1"/>
    <xf numFmtId="164" fontId="17" fillId="0" borderId="0" xfId="0" applyNumberFormat="1" applyFont="1"/>
    <xf numFmtId="0" fontId="0" fillId="0" borderId="13" xfId="0" applyBorder="1" applyAlignment="1">
      <alignment horizontal="center"/>
    </xf>
    <xf numFmtId="0" fontId="17" fillId="0" borderId="0" xfId="0" applyFont="1"/>
    <xf numFmtId="0" fontId="17" fillId="0" borderId="7" xfId="0" applyFont="1" applyBorder="1"/>
    <xf numFmtId="3" fontId="17" fillId="0" borderId="6" xfId="0" applyNumberFormat="1" applyFont="1" applyBorder="1"/>
    <xf numFmtId="167" fontId="17" fillId="0" borderId="6" xfId="0" applyNumberFormat="1" applyFont="1" applyBorder="1"/>
    <xf numFmtId="3" fontId="0" fillId="0" borderId="6" xfId="0" applyNumberFormat="1" applyBorder="1"/>
    <xf numFmtId="49" fontId="5" fillId="0" borderId="0" xfId="0" applyNumberFormat="1" applyFont="1" applyAlignment="1">
      <alignment horizontal="left"/>
    </xf>
    <xf numFmtId="0" fontId="18" fillId="0" borderId="0" xfId="0" applyFont="1"/>
    <xf numFmtId="3" fontId="17" fillId="0" borderId="7" xfId="0" applyNumberFormat="1" applyFont="1" applyBorder="1"/>
    <xf numFmtId="0" fontId="19" fillId="0" borderId="8" xfId="0" applyFont="1" applyBorder="1" applyAlignment="1">
      <alignment horizontal="right"/>
    </xf>
    <xf numFmtId="0" fontId="17" fillId="0" borderId="9" xfId="0" applyFont="1" applyBorder="1"/>
    <xf numFmtId="0" fontId="20" fillId="0" borderId="10" xfId="0" applyFont="1" applyBorder="1" applyAlignment="1">
      <alignment horizontal="right"/>
    </xf>
    <xf numFmtId="0" fontId="21" fillId="3" borderId="11" xfId="0" applyFont="1" applyFill="1" applyBorder="1" applyAlignment="1">
      <alignment horizontal="right"/>
    </xf>
    <xf numFmtId="0" fontId="0" fillId="3" borderId="12" xfId="0" applyFill="1" applyBorder="1"/>
    <xf numFmtId="164" fontId="6" fillId="0" borderId="0" xfId="0" applyNumberFormat="1" applyFont="1"/>
    <xf numFmtId="0" fontId="0" fillId="0" borderId="6" xfId="0" quotePrefix="1" applyBorder="1" applyAlignment="1">
      <alignment horizontal="center"/>
    </xf>
    <xf numFmtId="9" fontId="0" fillId="0" borderId="0" xfId="0" applyNumberFormat="1"/>
    <xf numFmtId="0" fontId="0" fillId="0" borderId="14" xfId="0" applyBorder="1"/>
    <xf numFmtId="0" fontId="0" fillId="0" borderId="15" xfId="0" applyBorder="1"/>
    <xf numFmtId="9" fontId="0" fillId="0" borderId="7" xfId="0" applyNumberFormat="1" applyBorder="1"/>
    <xf numFmtId="0" fontId="22" fillId="0" borderId="0" xfId="0" applyFont="1"/>
    <xf numFmtId="164" fontId="22" fillId="0" borderId="0" xfId="9" applyNumberFormat="1" applyFont="1"/>
    <xf numFmtId="178" fontId="6" fillId="0" borderId="0" xfId="9" applyNumberFormat="1" applyFont="1" applyFill="1" applyBorder="1"/>
    <xf numFmtId="165" fontId="5" fillId="0" borderId="0" xfId="9" applyNumberFormat="1" applyFont="1" applyFill="1" applyBorder="1"/>
    <xf numFmtId="9" fontId="22" fillId="0" borderId="0" xfId="9" applyFont="1"/>
    <xf numFmtId="169" fontId="5" fillId="0" borderId="0" xfId="0" applyNumberFormat="1" applyFont="1"/>
    <xf numFmtId="0" fontId="4" fillId="0" borderId="6" xfId="0" applyFont="1" applyBorder="1"/>
    <xf numFmtId="3" fontId="5" fillId="0" borderId="6" xfId="0" applyNumberFormat="1" applyFont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4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/>
    <xf numFmtId="181" fontId="0" fillId="0" borderId="0" xfId="1" applyNumberFormat="1" applyFont="1"/>
    <xf numFmtId="181" fontId="0" fillId="0" borderId="0" xfId="1" applyNumberFormat="1" applyFont="1" applyFill="1"/>
    <xf numFmtId="0" fontId="0" fillId="5" borderId="0" xfId="0" applyFill="1"/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3" fontId="17" fillId="0" borderId="0" xfId="1" applyFont="1"/>
    <xf numFmtId="43" fontId="4" fillId="0" borderId="0" xfId="1" applyFont="1"/>
    <xf numFmtId="14" fontId="0" fillId="0" borderId="0" xfId="0" applyNumberFormat="1" applyProtection="1">
      <protection locked="0"/>
    </xf>
    <xf numFmtId="9" fontId="11" fillId="0" borderId="0" xfId="0" applyNumberFormat="1" applyFont="1"/>
    <xf numFmtId="9" fontId="11" fillId="0" borderId="6" xfId="0" applyNumberFormat="1" applyFont="1" applyBorder="1"/>
    <xf numFmtId="0" fontId="5" fillId="0" borderId="7" xfId="0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164" fontId="14" fillId="0" borderId="7" xfId="0" applyNumberFormat="1" applyFont="1" applyBorder="1"/>
    <xf numFmtId="0" fontId="24" fillId="5" borderId="0" xfId="0" applyFont="1" applyFill="1"/>
    <xf numFmtId="1" fontId="0" fillId="0" borderId="0" xfId="0" applyNumberFormat="1" applyAlignment="1">
      <alignment horizontal="center"/>
    </xf>
    <xf numFmtId="166" fontId="23" fillId="0" borderId="0" xfId="0" applyNumberFormat="1" applyFont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0" fillId="0" borderId="16" xfId="0" applyBorder="1"/>
    <xf numFmtId="0" fontId="2" fillId="0" borderId="10" xfId="0" applyFont="1" applyBorder="1"/>
    <xf numFmtId="0" fontId="0" fillId="0" borderId="17" xfId="0" applyBorder="1"/>
    <xf numFmtId="0" fontId="0" fillId="0" borderId="10" xfId="0" applyBorder="1"/>
    <xf numFmtId="0" fontId="2" fillId="0" borderId="1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2" fillId="0" borderId="14" xfId="0" applyFont="1" applyBorder="1" applyAlignment="1">
      <alignment horizontal="left"/>
    </xf>
    <xf numFmtId="0" fontId="2" fillId="0" borderId="18" xfId="0" applyFont="1" applyBorder="1"/>
    <xf numFmtId="0" fontId="0" fillId="0" borderId="10" xfId="0" applyBorder="1" applyAlignment="1">
      <alignment horizontal="left"/>
    </xf>
    <xf numFmtId="180" fontId="0" fillId="0" borderId="17" xfId="1" applyNumberFormat="1" applyFont="1" applyBorder="1"/>
    <xf numFmtId="43" fontId="0" fillId="0" borderId="0" xfId="1" applyFont="1" applyBorder="1"/>
    <xf numFmtId="180" fontId="0" fillId="0" borderId="0" xfId="1" applyNumberFormat="1" applyFont="1" applyBorder="1"/>
    <xf numFmtId="0" fontId="0" fillId="0" borderId="11" xfId="0" applyBorder="1" applyAlignment="1">
      <alignment horizontal="left"/>
    </xf>
    <xf numFmtId="0" fontId="0" fillId="0" borderId="12" xfId="0" applyBorder="1"/>
    <xf numFmtId="180" fontId="0" fillId="0" borderId="19" xfId="1" applyNumberFormat="1" applyFont="1" applyBorder="1"/>
    <xf numFmtId="178" fontId="4" fillId="0" borderId="0" xfId="9" applyNumberFormat="1" applyFont="1" applyFill="1"/>
    <xf numFmtId="178" fontId="4" fillId="0" borderId="7" xfId="9" applyNumberFormat="1" applyFont="1" applyFill="1" applyBorder="1"/>
    <xf numFmtId="178" fontId="0" fillId="0" borderId="0" xfId="0" applyNumberFormat="1"/>
    <xf numFmtId="178" fontId="5" fillId="0" borderId="0" xfId="9" applyNumberFormat="1" applyFont="1" applyFill="1"/>
    <xf numFmtId="178" fontId="4" fillId="0" borderId="6" xfId="9" applyNumberFormat="1" applyFont="1" applyFill="1" applyBorder="1"/>
    <xf numFmtId="0" fontId="0" fillId="0" borderId="7" xfId="0" applyBorder="1" applyAlignment="1">
      <alignment horizontal="centerContinuous"/>
    </xf>
    <xf numFmtId="3" fontId="0" fillId="0" borderId="0" xfId="0" applyNumberFormat="1" applyAlignment="1">
      <alignment horizontal="right"/>
    </xf>
    <xf numFmtId="37" fontId="0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Continuous"/>
    </xf>
    <xf numFmtId="164" fontId="0" fillId="0" borderId="0" xfId="9" applyNumberFormat="1" applyFont="1"/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00FF00"/>
      <color rgb="FF0000FF"/>
      <color rgb="FFFF9999"/>
      <color rgb="FFFF7C80"/>
      <color rgb="FF6666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31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2023%20Residential%20Exhibit.xlsx" TargetMode="External"/><Relationship Id="rId1" Type="http://schemas.openxmlformats.org/officeDocument/2006/relationships/externalLinkPath" Target="/Actuarial/Tier%203%20-%20Internal%20Use%20Secured/TWIA/Reviews/2023%20Rate%20Review/2023%20Residential%20Exhibi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2024%20Data.xls" TargetMode="External"/><Relationship Id="rId1" Type="http://schemas.openxmlformats.org/officeDocument/2006/relationships/externalLinkPath" Target="/Actuarial/Tier%203%20-%20Internal%20Use%20Secured/TWIA/Reviews/2024%20Rate%20Review/2024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2024%20Commercial%20Exhibits.xlsx" TargetMode="External"/><Relationship Id="rId1" Type="http://schemas.openxmlformats.org/officeDocument/2006/relationships/externalLinkPath" Target="/Actuarial/Tier%203%20-%20Internal%20Use%20Secured/TWIA/Reviews/2024%20Rate%20Review/2024%20Commercial%20Exhibit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2023%20Commercial%20Exhibit.xlsx" TargetMode="External"/><Relationship Id="rId1" Type="http://schemas.openxmlformats.org/officeDocument/2006/relationships/externalLinkPath" Target="/Actuarial/Tier%203%20-%20Internal%20Use%20Secured/TWIA/Reviews/2024%20Rate%20Review/2023%20Commercial%20Exhib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4a"/>
      <sheetName val="2.4b"/>
      <sheetName val="2.4c"/>
      <sheetName val="2.4d"/>
      <sheetName val="trend 2.5"/>
      <sheetName val="ldf 3.1a"/>
      <sheetName val="ldf 3.1b"/>
      <sheetName val="3.2 premium trend"/>
      <sheetName val="3.3a"/>
      <sheetName val="3.3b"/>
      <sheetName val="3.3c"/>
      <sheetName val="3.3d"/>
      <sheetName val="4.1"/>
      <sheetName val="4.2"/>
      <sheetName val="4.3AS loss Dev"/>
      <sheetName val="4.4"/>
      <sheetName val="4.5AS LAE Dev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a"/>
      <sheetName val="10.1b"/>
      <sheetName val="10.1c"/>
      <sheetName val="10.1d"/>
      <sheetName val="10.2"/>
      <sheetName val="11.1"/>
      <sheetName val="11.2"/>
      <sheetName val="12"/>
    </sheetNames>
    <sheetDataSet>
      <sheetData sheetId="0" refreshError="1"/>
      <sheetData sheetId="1" refreshError="1"/>
      <sheetData sheetId="2">
        <row r="15">
          <cell r="H15">
            <v>0.2</v>
          </cell>
        </row>
        <row r="19">
          <cell r="H19">
            <v>0.11</v>
          </cell>
        </row>
        <row r="21">
          <cell r="H21">
            <v>0.38</v>
          </cell>
        </row>
        <row r="22">
          <cell r="H22">
            <v>0.27</v>
          </cell>
        </row>
        <row r="23">
          <cell r="H23">
            <v>0.36</v>
          </cell>
        </row>
        <row r="24">
          <cell r="H24">
            <v>0.15</v>
          </cell>
        </row>
        <row r="26">
          <cell r="H26">
            <v>0.28912973359344818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PremIF"/>
      <sheetName val="Checklist"/>
    </sheetNames>
    <sheetDataSet>
      <sheetData sheetId="0">
        <row r="1">
          <cell r="E1">
            <v>45291</v>
          </cell>
        </row>
      </sheetData>
      <sheetData sheetId="1"/>
      <sheetData sheetId="2">
        <row r="1">
          <cell r="E1">
            <v>45199</v>
          </cell>
        </row>
        <row r="2">
          <cell r="E2">
            <v>45291</v>
          </cell>
        </row>
        <row r="28">
          <cell r="O28">
            <v>113521698</v>
          </cell>
          <cell r="P28">
            <v>62828148</v>
          </cell>
          <cell r="Q28">
            <v>187152484</v>
          </cell>
          <cell r="R28">
            <v>3920276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109182096</v>
          </cell>
          <cell r="P33">
            <v>59870593</v>
          </cell>
          <cell r="Q33">
            <v>151980115</v>
          </cell>
          <cell r="R33">
            <v>4296061</v>
          </cell>
        </row>
        <row r="34">
          <cell r="O34">
            <v>108043628</v>
          </cell>
          <cell r="P34">
            <v>57494711</v>
          </cell>
          <cell r="Q34">
            <v>141633299</v>
          </cell>
          <cell r="R34">
            <v>4367811</v>
          </cell>
        </row>
        <row r="35">
          <cell r="O35">
            <v>112324499</v>
          </cell>
          <cell r="P35">
            <v>57000700</v>
          </cell>
          <cell r="Q35">
            <v>140039840</v>
          </cell>
          <cell r="R35">
            <v>4523216</v>
          </cell>
        </row>
        <row r="36">
          <cell r="O36">
            <v>126572677</v>
          </cell>
          <cell r="P36">
            <v>61194933</v>
          </cell>
          <cell r="Q36">
            <v>153747607</v>
          </cell>
          <cell r="R36">
            <v>4935851</v>
          </cell>
        </row>
        <row r="37">
          <cell r="O37">
            <v>159933055</v>
          </cell>
          <cell r="P37">
            <v>76445090</v>
          </cell>
          <cell r="Q37">
            <v>211507410</v>
          </cell>
          <cell r="R37">
            <v>5922961</v>
          </cell>
        </row>
        <row r="38">
          <cell r="O38">
            <v>8645207.9953246713</v>
          </cell>
          <cell r="P38">
            <v>4065189.7500367453</v>
          </cell>
          <cell r="Q38">
            <v>8287605.1148678698</v>
          </cell>
          <cell r="R38">
            <v>25239134</v>
          </cell>
          <cell r="S38">
            <v>46237136.860229284</v>
          </cell>
          <cell r="U38">
            <v>13225286.939999999</v>
          </cell>
          <cell r="V38">
            <v>1367254.07</v>
          </cell>
          <cell r="W38">
            <v>22444043.98</v>
          </cell>
          <cell r="X38">
            <v>10178608</v>
          </cell>
        </row>
        <row r="39">
          <cell r="O39">
            <v>5826466.68889031</v>
          </cell>
          <cell r="P39">
            <v>3907711.7768190652</v>
          </cell>
          <cell r="Q39">
            <v>8059406.7247919552</v>
          </cell>
          <cell r="R39">
            <v>26718987</v>
          </cell>
          <cell r="S39">
            <v>44512572.190501332</v>
          </cell>
          <cell r="U39">
            <v>180484.07</v>
          </cell>
          <cell r="V39">
            <v>1170577.6100000001</v>
          </cell>
          <cell r="W39">
            <v>1625107.79</v>
          </cell>
          <cell r="X39">
            <v>12221034</v>
          </cell>
        </row>
        <row r="40">
          <cell r="O40">
            <v>5825915.9799037501</v>
          </cell>
          <cell r="P40">
            <v>4552394.5717778727</v>
          </cell>
          <cell r="Q40">
            <v>8448603.4214782007</v>
          </cell>
          <cell r="R40">
            <v>31914206</v>
          </cell>
          <cell r="S40">
            <v>50741119.97315982</v>
          </cell>
          <cell r="U40">
            <v>1900088.19</v>
          </cell>
          <cell r="V40">
            <v>1312776.43</v>
          </cell>
          <cell r="W40">
            <v>1776572.41</v>
          </cell>
          <cell r="X40">
            <v>17910197</v>
          </cell>
        </row>
        <row r="41">
          <cell r="O41">
            <v>6996873.8393279901</v>
          </cell>
          <cell r="P41">
            <v>5710806.3158280402</v>
          </cell>
          <cell r="Q41">
            <v>9743293.1421373393</v>
          </cell>
          <cell r="R41">
            <v>35133612</v>
          </cell>
          <cell r="S41">
            <v>57584585.297293372</v>
          </cell>
          <cell r="U41">
            <v>420037.68</v>
          </cell>
          <cell r="V41">
            <v>856368.8</v>
          </cell>
          <cell r="W41">
            <v>1637914.62</v>
          </cell>
          <cell r="X41">
            <v>6968697</v>
          </cell>
        </row>
        <row r="42">
          <cell r="O42">
            <v>8737576.095949661</v>
          </cell>
          <cell r="P42">
            <v>6908551.5027388204</v>
          </cell>
          <cell r="Q42">
            <v>10745994.710252121</v>
          </cell>
          <cell r="R42">
            <v>34347927</v>
          </cell>
          <cell r="S42">
            <v>60740049.308940604</v>
          </cell>
          <cell r="U42">
            <v>644169</v>
          </cell>
          <cell r="V42">
            <v>1552987</v>
          </cell>
          <cell r="W42">
            <v>2416675</v>
          </cell>
          <cell r="X42">
            <v>20240594</v>
          </cell>
        </row>
        <row r="43">
          <cell r="O43">
            <v>11652672.33924753</v>
          </cell>
          <cell r="P43">
            <v>8568167.9449975789</v>
          </cell>
          <cell r="Q43">
            <v>13294968.25041151</v>
          </cell>
          <cell r="R43">
            <v>38349763.638891585</v>
          </cell>
          <cell r="S43">
            <v>71865572.173548207</v>
          </cell>
          <cell r="U43">
            <v>406004</v>
          </cell>
          <cell r="V43">
            <v>1061115</v>
          </cell>
          <cell r="W43">
            <v>1520229</v>
          </cell>
          <cell r="X43">
            <v>9046495</v>
          </cell>
        </row>
        <row r="44">
          <cell r="O44">
            <v>12573252.045386519</v>
          </cell>
          <cell r="P44">
            <v>8425344.4375255592</v>
          </cell>
          <cell r="Q44">
            <v>15708220.14390702</v>
          </cell>
          <cell r="R44">
            <v>42447730.530345351</v>
          </cell>
          <cell r="S44">
            <v>79154547.157164454</v>
          </cell>
          <cell r="U44">
            <v>573343</v>
          </cell>
          <cell r="V44">
            <v>882561</v>
          </cell>
          <cell r="W44">
            <v>2569544</v>
          </cell>
          <cell r="X44">
            <v>8514675</v>
          </cell>
        </row>
        <row r="45">
          <cell r="O45">
            <v>13838930.147333849</v>
          </cell>
          <cell r="P45">
            <v>8803621.2708639801</v>
          </cell>
          <cell r="Q45">
            <v>16168136.035215851</v>
          </cell>
          <cell r="R45">
            <v>41427572.085624263</v>
          </cell>
          <cell r="S45">
            <v>80238259.539037943</v>
          </cell>
          <cell r="U45">
            <v>6371206</v>
          </cell>
          <cell r="V45">
            <v>2289890</v>
          </cell>
          <cell r="W45">
            <v>10312506</v>
          </cell>
          <cell r="X45">
            <v>10127907</v>
          </cell>
        </row>
        <row r="46">
          <cell r="O46">
            <v>14103814.475361723</v>
          </cell>
          <cell r="P46">
            <v>8465255.5940993391</v>
          </cell>
          <cell r="Q46">
            <v>14452666.932484001</v>
          </cell>
          <cell r="R46">
            <v>34004814.583080605</v>
          </cell>
          <cell r="S46">
            <v>71026551.585025668</v>
          </cell>
          <cell r="U46">
            <v>742130</v>
          </cell>
          <cell r="V46">
            <v>3778386</v>
          </cell>
          <cell r="W46">
            <v>3655754</v>
          </cell>
          <cell r="X46">
            <v>8680187</v>
          </cell>
        </row>
        <row r="47">
          <cell r="O47">
            <v>15784217.733659999</v>
          </cell>
          <cell r="P47">
            <v>8437094.0914586801</v>
          </cell>
          <cell r="Q47">
            <v>14453384.888686031</v>
          </cell>
          <cell r="R47">
            <v>36439477.252283618</v>
          </cell>
          <cell r="S47">
            <v>75114173.966088325</v>
          </cell>
          <cell r="U47">
            <v>324948</v>
          </cell>
          <cell r="V47">
            <v>485581</v>
          </cell>
          <cell r="W47">
            <v>3332580</v>
          </cell>
          <cell r="X47">
            <v>9518422</v>
          </cell>
        </row>
        <row r="48">
          <cell r="O48">
            <v>17776665.907286998</v>
          </cell>
          <cell r="P48">
            <v>8894551.5983342603</v>
          </cell>
          <cell r="Q48">
            <v>15173521.37271852</v>
          </cell>
          <cell r="R48">
            <v>32881662.327381283</v>
          </cell>
          <cell r="S48">
            <v>74726401.205721065</v>
          </cell>
          <cell r="U48">
            <v>1947817</v>
          </cell>
          <cell r="V48">
            <v>1394445</v>
          </cell>
          <cell r="W48">
            <v>2426814</v>
          </cell>
          <cell r="X48">
            <v>23547404</v>
          </cell>
        </row>
        <row r="49">
          <cell r="O49">
            <v>20514469</v>
          </cell>
          <cell r="P49">
            <v>10534795</v>
          </cell>
          <cell r="Q49">
            <v>17843905</v>
          </cell>
          <cell r="R49">
            <v>37396181</v>
          </cell>
          <cell r="S49">
            <v>86289350</v>
          </cell>
          <cell r="U49">
            <v>10059284</v>
          </cell>
          <cell r="V49">
            <v>1227528</v>
          </cell>
          <cell r="W49">
            <v>5925066</v>
          </cell>
          <cell r="X49">
            <v>7950367</v>
          </cell>
        </row>
        <row r="50">
          <cell r="O50">
            <v>25868450</v>
          </cell>
          <cell r="P50">
            <v>13881847</v>
          </cell>
          <cell r="Q50">
            <v>23423208</v>
          </cell>
          <cell r="R50">
            <v>49027236</v>
          </cell>
          <cell r="S50">
            <v>112200741</v>
          </cell>
          <cell r="U50">
            <v>2672918</v>
          </cell>
          <cell r="V50">
            <v>2295803</v>
          </cell>
          <cell r="W50">
            <v>17213668</v>
          </cell>
          <cell r="X50">
            <v>10177909</v>
          </cell>
        </row>
        <row r="51">
          <cell r="O51">
            <v>30357860</v>
          </cell>
          <cell r="P51">
            <v>15458506</v>
          </cell>
          <cell r="Q51">
            <v>27306202</v>
          </cell>
          <cell r="R51">
            <v>49927649</v>
          </cell>
          <cell r="S51">
            <v>123050217</v>
          </cell>
          <cell r="U51">
            <v>731759</v>
          </cell>
          <cell r="V51">
            <v>569877</v>
          </cell>
          <cell r="W51">
            <v>990613</v>
          </cell>
          <cell r="X51">
            <v>3738542</v>
          </cell>
        </row>
        <row r="52">
          <cell r="O52">
            <v>36780457</v>
          </cell>
          <cell r="P52">
            <v>17471646</v>
          </cell>
          <cell r="Q52">
            <v>31012304</v>
          </cell>
          <cell r="R52">
            <v>50116517</v>
          </cell>
          <cell r="S52">
            <v>135380924</v>
          </cell>
          <cell r="U52">
            <v>34527644</v>
          </cell>
          <cell r="V52">
            <v>872451</v>
          </cell>
          <cell r="W52">
            <v>115989785</v>
          </cell>
          <cell r="X52">
            <v>34201898</v>
          </cell>
        </row>
        <row r="53">
          <cell r="O53">
            <v>43562211</v>
          </cell>
          <cell r="P53">
            <v>19888512</v>
          </cell>
          <cell r="Q53">
            <v>36545725</v>
          </cell>
          <cell r="R53">
            <v>54703319</v>
          </cell>
          <cell r="S53">
            <v>154699767</v>
          </cell>
          <cell r="U53">
            <v>813430</v>
          </cell>
          <cell r="V53">
            <v>621501</v>
          </cell>
          <cell r="W53">
            <v>1842548</v>
          </cell>
          <cell r="X53">
            <v>4909932</v>
          </cell>
        </row>
        <row r="54">
          <cell r="O54">
            <v>59282257</v>
          </cell>
          <cell r="P54">
            <v>29704042</v>
          </cell>
          <cell r="Q54">
            <v>69945120</v>
          </cell>
          <cell r="R54">
            <v>60982886</v>
          </cell>
          <cell r="S54">
            <v>219914305</v>
          </cell>
          <cell r="U54">
            <v>2757645</v>
          </cell>
          <cell r="V54">
            <v>833793</v>
          </cell>
          <cell r="W54">
            <v>10105722</v>
          </cell>
          <cell r="X54">
            <v>5242698</v>
          </cell>
        </row>
        <row r="55">
          <cell r="O55">
            <v>73789694</v>
          </cell>
          <cell r="P55">
            <v>40565108</v>
          </cell>
          <cell r="Q55">
            <v>110187567</v>
          </cell>
          <cell r="R55">
            <v>65015817</v>
          </cell>
          <cell r="S55">
            <v>289558186</v>
          </cell>
          <cell r="U55">
            <v>1052325677</v>
          </cell>
          <cell r="V55">
            <v>1468028</v>
          </cell>
          <cell r="W55">
            <v>694640836</v>
          </cell>
          <cell r="X55">
            <v>448708417</v>
          </cell>
        </row>
        <row r="56">
          <cell r="O56">
            <v>81999709</v>
          </cell>
          <cell r="P56">
            <v>46363445</v>
          </cell>
          <cell r="Q56">
            <v>128275387</v>
          </cell>
          <cell r="R56">
            <v>70667217</v>
          </cell>
          <cell r="S56">
            <v>327305758</v>
          </cell>
          <cell r="U56">
            <v>3581024</v>
          </cell>
          <cell r="V56">
            <v>615469</v>
          </cell>
          <cell r="W56">
            <v>2522159</v>
          </cell>
          <cell r="X56">
            <v>9952501</v>
          </cell>
        </row>
        <row r="57">
          <cell r="O57">
            <v>89665314</v>
          </cell>
          <cell r="P57">
            <v>51529115</v>
          </cell>
          <cell r="Q57">
            <v>143236007</v>
          </cell>
          <cell r="R57">
            <v>70788779</v>
          </cell>
          <cell r="S57">
            <v>355219215</v>
          </cell>
          <cell r="U57">
            <v>1451547</v>
          </cell>
          <cell r="V57">
            <v>4059049</v>
          </cell>
          <cell r="W57">
            <v>9656553</v>
          </cell>
          <cell r="X57">
            <v>10829031</v>
          </cell>
        </row>
        <row r="58">
          <cell r="O58">
            <v>93230854</v>
          </cell>
          <cell r="P58">
            <v>52931755</v>
          </cell>
          <cell r="Q58">
            <v>151387931</v>
          </cell>
          <cell r="R58">
            <v>73325323</v>
          </cell>
          <cell r="S58">
            <v>370875863</v>
          </cell>
          <cell r="U58">
            <v>1329886</v>
          </cell>
          <cell r="V58">
            <v>19845538</v>
          </cell>
          <cell r="W58">
            <v>59070022</v>
          </cell>
          <cell r="X58">
            <v>5993038</v>
          </cell>
        </row>
        <row r="59">
          <cell r="O59">
            <v>99629727</v>
          </cell>
          <cell r="P59">
            <v>56334273</v>
          </cell>
          <cell r="Q59">
            <v>170159709</v>
          </cell>
          <cell r="R59">
            <v>80858142</v>
          </cell>
          <cell r="S59">
            <v>406981851</v>
          </cell>
          <cell r="U59">
            <v>10756644</v>
          </cell>
          <cell r="V59">
            <v>21291155</v>
          </cell>
          <cell r="W59">
            <v>21200719</v>
          </cell>
          <cell r="X59">
            <v>89893832</v>
          </cell>
        </row>
        <row r="60">
          <cell r="O60">
            <v>107104250</v>
          </cell>
          <cell r="P60">
            <v>60101696</v>
          </cell>
          <cell r="Q60">
            <v>183495510</v>
          </cell>
          <cell r="R60">
            <v>90250703</v>
          </cell>
          <cell r="S60">
            <v>440952159</v>
          </cell>
          <cell r="U60">
            <v>54338085</v>
          </cell>
          <cell r="V60">
            <v>6825640</v>
          </cell>
          <cell r="W60">
            <v>6485250</v>
          </cell>
          <cell r="X60">
            <v>22061511</v>
          </cell>
        </row>
        <row r="61">
          <cell r="O61">
            <v>114784032</v>
          </cell>
          <cell r="P61">
            <v>65642137</v>
          </cell>
          <cell r="Q61">
            <v>197640983</v>
          </cell>
          <cell r="R61">
            <v>99916064</v>
          </cell>
          <cell r="S61">
            <v>477983216</v>
          </cell>
          <cell r="U61">
            <v>691708</v>
          </cell>
          <cell r="V61">
            <v>1914066</v>
          </cell>
          <cell r="W61">
            <v>7234983</v>
          </cell>
          <cell r="X61">
            <v>20930082</v>
          </cell>
        </row>
        <row r="62">
          <cell r="O62">
            <v>122782019</v>
          </cell>
          <cell r="P62">
            <v>72124134</v>
          </cell>
          <cell r="Q62">
            <v>212320998</v>
          </cell>
          <cell r="R62">
            <v>110352614</v>
          </cell>
          <cell r="S62">
            <v>517579765</v>
          </cell>
          <cell r="U62">
            <v>17666484</v>
          </cell>
          <cell r="V62">
            <v>9924249</v>
          </cell>
          <cell r="W62">
            <v>90056094</v>
          </cell>
          <cell r="X62">
            <v>43780541</v>
          </cell>
        </row>
        <row r="63">
          <cell r="O63">
            <v>127007324</v>
          </cell>
          <cell r="P63">
            <v>76436084</v>
          </cell>
          <cell r="Q63">
            <v>218795204</v>
          </cell>
          <cell r="R63">
            <v>119744188</v>
          </cell>
          <cell r="S63">
            <v>541982800</v>
          </cell>
          <cell r="U63">
            <v>11304310</v>
          </cell>
          <cell r="V63">
            <v>10445691</v>
          </cell>
          <cell r="W63">
            <v>15021245</v>
          </cell>
          <cell r="X63">
            <v>46503584</v>
          </cell>
        </row>
        <row r="64">
          <cell r="O64">
            <v>126002753</v>
          </cell>
          <cell r="P64">
            <v>77008517</v>
          </cell>
          <cell r="Q64">
            <v>212533686</v>
          </cell>
          <cell r="R64">
            <v>117739636</v>
          </cell>
          <cell r="S64">
            <v>533284592</v>
          </cell>
          <cell r="U64">
            <v>40971158</v>
          </cell>
          <cell r="V64">
            <v>277308178</v>
          </cell>
          <cell r="W64">
            <v>709120869</v>
          </cell>
          <cell r="X64">
            <v>75399831</v>
          </cell>
        </row>
        <row r="65">
          <cell r="O65">
            <v>122707170</v>
          </cell>
          <cell r="P65">
            <v>77031486</v>
          </cell>
          <cell r="Q65">
            <v>201509514</v>
          </cell>
          <cell r="R65">
            <v>115484141</v>
          </cell>
          <cell r="S65">
            <v>516732311</v>
          </cell>
          <cell r="U65">
            <v>3153959</v>
          </cell>
          <cell r="V65">
            <v>1671270</v>
          </cell>
          <cell r="W65">
            <v>9319007</v>
          </cell>
          <cell r="X65">
            <v>12323854</v>
          </cell>
        </row>
        <row r="66">
          <cell r="O66">
            <v>121980686</v>
          </cell>
          <cell r="P66">
            <v>76506580</v>
          </cell>
          <cell r="Q66">
            <v>194433202</v>
          </cell>
          <cell r="R66">
            <v>116765056</v>
          </cell>
          <cell r="S66">
            <v>509685524</v>
          </cell>
          <cell r="U66">
            <v>6648705</v>
          </cell>
          <cell r="V66">
            <v>1370278</v>
          </cell>
          <cell r="W66">
            <v>16886746</v>
          </cell>
          <cell r="X66">
            <v>37912359</v>
          </cell>
        </row>
        <row r="67">
          <cell r="O67">
            <v>121816746</v>
          </cell>
          <cell r="P67">
            <v>73290165</v>
          </cell>
          <cell r="Q67">
            <v>186265421</v>
          </cell>
          <cell r="R67">
            <v>121483867</v>
          </cell>
          <cell r="S67">
            <v>502856199</v>
          </cell>
          <cell r="U67">
            <v>6942693</v>
          </cell>
          <cell r="V67">
            <v>3057424</v>
          </cell>
          <cell r="W67">
            <v>41308139</v>
          </cell>
          <cell r="X67">
            <v>56914326</v>
          </cell>
        </row>
        <row r="68">
          <cell r="O68">
            <v>126003547</v>
          </cell>
          <cell r="P68">
            <v>71903454</v>
          </cell>
          <cell r="Q68">
            <v>186593305</v>
          </cell>
          <cell r="R68">
            <v>130431457</v>
          </cell>
          <cell r="S68">
            <v>514931763</v>
          </cell>
          <cell r="U68">
            <v>32338822</v>
          </cell>
          <cell r="V68">
            <v>1760966</v>
          </cell>
          <cell r="W68">
            <v>62523768</v>
          </cell>
          <cell r="X68">
            <v>59218023</v>
          </cell>
        </row>
        <row r="69">
          <cell r="O69">
            <v>138162407</v>
          </cell>
          <cell r="P69">
            <v>74944777</v>
          </cell>
          <cell r="Q69">
            <v>199153387</v>
          </cell>
          <cell r="R69">
            <v>150688863</v>
          </cell>
          <cell r="S69">
            <v>562949434</v>
          </cell>
          <cell r="U69">
            <v>12526177</v>
          </cell>
          <cell r="V69">
            <v>1690303</v>
          </cell>
          <cell r="W69">
            <v>19980740</v>
          </cell>
          <cell r="X69">
            <v>29043816</v>
          </cell>
        </row>
        <row r="70">
          <cell r="O70">
            <v>166969215</v>
          </cell>
          <cell r="P70">
            <v>87065823</v>
          </cell>
          <cell r="Q70">
            <v>243081044</v>
          </cell>
          <cell r="R70">
            <v>184410719</v>
          </cell>
          <cell r="S70">
            <v>681526801</v>
          </cell>
          <cell r="U70">
            <v>30038690</v>
          </cell>
          <cell r="V70">
            <v>2251737</v>
          </cell>
          <cell r="W70">
            <v>35652679</v>
          </cell>
          <cell r="X70">
            <v>76562111</v>
          </cell>
        </row>
      </sheetData>
      <sheetData sheetId="3">
        <row r="1">
          <cell r="E1">
            <v>45199</v>
          </cell>
        </row>
        <row r="2">
          <cell r="E2">
            <v>45291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  <cell r="X29">
            <v>520624</v>
          </cell>
          <cell r="Y29">
            <v>1618066</v>
          </cell>
          <cell r="Z29">
            <v>2847173</v>
          </cell>
          <cell r="AA29">
            <v>30748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17443601</v>
          </cell>
          <cell r="Y30">
            <v>9461279</v>
          </cell>
          <cell r="Z30">
            <v>86469178</v>
          </cell>
          <cell r="AA30">
            <v>339352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10985881</v>
          </cell>
          <cell r="Y31">
            <v>9531194</v>
          </cell>
          <cell r="Z31">
            <v>12167890</v>
          </cell>
          <cell r="AA31">
            <v>446449</v>
          </cell>
        </row>
        <row r="32">
          <cell r="S32">
            <v>35490978</v>
          </cell>
          <cell r="T32">
            <v>250889783</v>
          </cell>
          <cell r="U32">
            <v>628015623</v>
          </cell>
          <cell r="V32">
            <v>3459572</v>
          </cell>
          <cell r="X32">
            <v>2709595</v>
          </cell>
          <cell r="Y32">
            <v>7641292</v>
          </cell>
          <cell r="Z32">
            <v>21824214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2551684</v>
          </cell>
          <cell r="Y33">
            <v>1114022</v>
          </cell>
          <cell r="Z33">
            <v>6765244</v>
          </cell>
          <cell r="AA33">
            <v>282709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4837299</v>
          </cell>
          <cell r="Y34">
            <v>832616</v>
          </cell>
          <cell r="Z34">
            <v>10108613</v>
          </cell>
          <cell r="AA34">
            <v>2701499</v>
          </cell>
        </row>
        <row r="35">
          <cell r="S35">
            <v>30724</v>
          </cell>
          <cell r="T35">
            <v>1826271</v>
          </cell>
          <cell r="U35">
            <v>6954608</v>
          </cell>
          <cell r="V35">
            <v>6672</v>
          </cell>
          <cell r="X35">
            <v>5567455</v>
          </cell>
          <cell r="Y35">
            <v>476739</v>
          </cell>
          <cell r="Z35">
            <v>21713126</v>
          </cell>
          <cell r="AA35">
            <v>449893</v>
          </cell>
        </row>
        <row r="36">
          <cell r="S36">
            <v>381777</v>
          </cell>
          <cell r="T36">
            <v>0</v>
          </cell>
          <cell r="U36">
            <v>17066570</v>
          </cell>
          <cell r="V36">
            <v>15380</v>
          </cell>
          <cell r="X36">
            <v>24739860</v>
          </cell>
          <cell r="Y36">
            <v>760300</v>
          </cell>
          <cell r="Z36">
            <v>29253796</v>
          </cell>
          <cell r="AA36">
            <v>2052668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11209499</v>
          </cell>
          <cell r="Y37">
            <v>1122593</v>
          </cell>
          <cell r="Z37">
            <v>12254832</v>
          </cell>
          <cell r="AA37">
            <v>675864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26600326</v>
          </cell>
          <cell r="Y38">
            <v>1235567</v>
          </cell>
          <cell r="Z38">
            <v>25757901</v>
          </cell>
          <cell r="AA38">
            <v>3764430</v>
          </cell>
        </row>
      </sheetData>
      <sheetData sheetId="4">
        <row r="5">
          <cell r="E5">
            <v>536224205</v>
          </cell>
          <cell r="F5">
            <v>3019445820</v>
          </cell>
          <cell r="L5">
            <v>7135048.3599000005</v>
          </cell>
        </row>
        <row r="6">
          <cell r="F6">
            <v>18080727960</v>
          </cell>
          <cell r="L6">
            <v>30834291.967499997</v>
          </cell>
        </row>
        <row r="7">
          <cell r="F7">
            <v>1381278660</v>
          </cell>
          <cell r="L7">
            <v>4989207.9933000002</v>
          </cell>
        </row>
        <row r="8">
          <cell r="F8">
            <v>2885907180</v>
          </cell>
          <cell r="L8">
            <v>6637743.5059000002</v>
          </cell>
        </row>
        <row r="9">
          <cell r="F9">
            <v>3031782740</v>
          </cell>
          <cell r="L9">
            <v>4717165.3476000009</v>
          </cell>
        </row>
        <row r="10">
          <cell r="F10">
            <v>32274036340</v>
          </cell>
          <cell r="L10">
            <v>94928483.633399993</v>
          </cell>
        </row>
        <row r="11">
          <cell r="F11">
            <v>1721743380</v>
          </cell>
          <cell r="L11">
            <v>5111354.1110999994</v>
          </cell>
        </row>
        <row r="12">
          <cell r="F12">
            <v>9595251380</v>
          </cell>
          <cell r="L12">
            <v>18934836.885500003</v>
          </cell>
        </row>
        <row r="13">
          <cell r="F13">
            <v>6832100</v>
          </cell>
          <cell r="L13">
            <v>13656.5993</v>
          </cell>
        </row>
        <row r="14">
          <cell r="F14">
            <v>259619640</v>
          </cell>
          <cell r="L14">
            <v>386420.22490000003</v>
          </cell>
        </row>
        <row r="15">
          <cell r="F15">
            <v>1683217740</v>
          </cell>
          <cell r="L15">
            <v>4793423.3660000004</v>
          </cell>
        </row>
        <row r="16">
          <cell r="F16">
            <v>14858281260</v>
          </cell>
          <cell r="L16">
            <v>34211676.739600003</v>
          </cell>
        </row>
        <row r="17">
          <cell r="F17">
            <v>120043360</v>
          </cell>
          <cell r="L17">
            <v>275977.48009999999</v>
          </cell>
        </row>
        <row r="18">
          <cell r="F18">
            <v>2873434360</v>
          </cell>
          <cell r="L18">
            <v>6289811.8074000003</v>
          </cell>
        </row>
        <row r="19">
          <cell r="F19">
            <v>110590620</v>
          </cell>
          <cell r="L19">
            <v>292800.48209999996</v>
          </cell>
        </row>
        <row r="29">
          <cell r="L29">
            <v>7130986.5453000003</v>
          </cell>
        </row>
        <row r="30">
          <cell r="L30">
            <v>31545774.762600001</v>
          </cell>
        </row>
        <row r="31">
          <cell r="L31">
            <v>4116508.2254000003</v>
          </cell>
        </row>
        <row r="32">
          <cell r="L32">
            <v>5691479.8437000001</v>
          </cell>
        </row>
        <row r="33">
          <cell r="L33">
            <v>4564386.6647999994</v>
          </cell>
        </row>
        <row r="34">
          <cell r="L34">
            <v>118466682.8239</v>
          </cell>
        </row>
        <row r="35">
          <cell r="L35">
            <v>7058324.4508000007</v>
          </cell>
        </row>
        <row r="36">
          <cell r="L36">
            <v>19237054.747899998</v>
          </cell>
        </row>
        <row r="37">
          <cell r="L37">
            <v>8105.2982000000002</v>
          </cell>
        </row>
        <row r="38">
          <cell r="L38">
            <v>243329.57759999999</v>
          </cell>
        </row>
        <row r="39">
          <cell r="L39">
            <v>4247463.8699000003</v>
          </cell>
        </row>
        <row r="40">
          <cell r="L40">
            <v>39395489.714000002</v>
          </cell>
        </row>
        <row r="41">
          <cell r="L41">
            <v>198696.98670000001</v>
          </cell>
        </row>
        <row r="42">
          <cell r="L42">
            <v>5990663.3726000004</v>
          </cell>
        </row>
        <row r="43">
          <cell r="L43">
            <v>244158.1269</v>
          </cell>
        </row>
        <row r="50">
          <cell r="L50">
            <v>9537971.65559108</v>
          </cell>
        </row>
        <row r="51">
          <cell r="L51">
            <v>36462163.046417877</v>
          </cell>
        </row>
        <row r="52">
          <cell r="L52">
            <v>5278236.1314764963</v>
          </cell>
        </row>
        <row r="53">
          <cell r="L53">
            <v>6030006.2449646406</v>
          </cell>
        </row>
        <row r="54">
          <cell r="L54">
            <v>5240955.254097892</v>
          </cell>
        </row>
        <row r="55">
          <cell r="L55">
            <v>68952921.569571048</v>
          </cell>
        </row>
        <row r="56">
          <cell r="L56">
            <v>3476176.3834427693</v>
          </cell>
        </row>
        <row r="57">
          <cell r="L57">
            <v>16305712.695459012</v>
          </cell>
        </row>
        <row r="58">
          <cell r="L58">
            <v>21857.317792041202</v>
          </cell>
        </row>
        <row r="59">
          <cell r="L59">
            <v>588692.63532636315</v>
          </cell>
        </row>
        <row r="60">
          <cell r="L60">
            <v>5682960.0058017364</v>
          </cell>
        </row>
        <row r="61">
          <cell r="L61">
            <v>35711619.013201974</v>
          </cell>
        </row>
        <row r="62">
          <cell r="L62">
            <v>431262.11500090902</v>
          </cell>
        </row>
        <row r="63">
          <cell r="L63">
            <v>8929010.3706695233</v>
          </cell>
        </row>
        <row r="64">
          <cell r="L64">
            <v>445071.47419388528</v>
          </cell>
        </row>
        <row r="70">
          <cell r="L70">
            <v>5969618.8343434371</v>
          </cell>
        </row>
        <row r="71">
          <cell r="L71">
            <v>30079142.738878168</v>
          </cell>
        </row>
        <row r="72">
          <cell r="L72">
            <v>4343878.59939742</v>
          </cell>
        </row>
        <row r="73">
          <cell r="L73">
            <v>4254515.1616305131</v>
          </cell>
        </row>
        <row r="74">
          <cell r="L74">
            <v>4773163.163760188</v>
          </cell>
        </row>
        <row r="75">
          <cell r="L75">
            <v>75108889.254369855</v>
          </cell>
        </row>
        <row r="76">
          <cell r="L76">
            <v>5659586.580897335</v>
          </cell>
        </row>
        <row r="77">
          <cell r="L77">
            <v>25448795.538853381</v>
          </cell>
        </row>
        <row r="78">
          <cell r="L78">
            <v>12215.718562603</v>
          </cell>
        </row>
        <row r="79">
          <cell r="L79">
            <v>291690.705519512</v>
          </cell>
        </row>
        <row r="80">
          <cell r="L80">
            <v>4248231.0237569762</v>
          </cell>
        </row>
        <row r="81">
          <cell r="L81">
            <v>25431969.438364323</v>
          </cell>
        </row>
        <row r="82">
          <cell r="L82">
            <v>257092.8583679196</v>
          </cell>
        </row>
        <row r="83">
          <cell r="L83">
            <v>5361062.7559928931</v>
          </cell>
        </row>
        <row r="84">
          <cell r="L84">
            <v>223948.95602416998</v>
          </cell>
        </row>
      </sheetData>
      <sheetData sheetId="5">
        <row r="1">
          <cell r="B1">
            <v>45199</v>
          </cell>
        </row>
        <row r="2">
          <cell r="B2">
            <v>45291</v>
          </cell>
        </row>
        <row r="55">
          <cell r="B55">
            <v>157426480</v>
          </cell>
          <cell r="C55">
            <v>183365534</v>
          </cell>
          <cell r="D55">
            <v>190277645</v>
          </cell>
          <cell r="E55">
            <v>191866051</v>
          </cell>
          <cell r="F55">
            <v>192056094</v>
          </cell>
          <cell r="G55">
            <v>192342131</v>
          </cell>
          <cell r="H55">
            <v>192402821</v>
          </cell>
          <cell r="I55">
            <v>192424692</v>
          </cell>
          <cell r="J55">
            <v>192452587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  <cell r="F59">
            <v>209335360</v>
          </cell>
          <cell r="G59">
            <v>209188944</v>
          </cell>
          <cell r="H59">
            <v>209281728</v>
          </cell>
          <cell r="I59">
            <v>209327436</v>
          </cell>
          <cell r="J59">
            <v>209327436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  <cell r="E63">
            <v>564014455</v>
          </cell>
          <cell r="F63">
            <v>564747319</v>
          </cell>
          <cell r="G63">
            <v>565099448</v>
          </cell>
          <cell r="H63">
            <v>565152909</v>
          </cell>
          <cell r="I63">
            <v>565168270</v>
          </cell>
        </row>
        <row r="67">
          <cell r="B67">
            <v>665246722</v>
          </cell>
          <cell r="C67">
            <v>791814275</v>
          </cell>
          <cell r="D67">
            <v>816792228</v>
          </cell>
          <cell r="E67">
            <v>822535776</v>
          </cell>
          <cell r="F67">
            <v>825860304</v>
          </cell>
          <cell r="G67">
            <v>825685730</v>
          </cell>
          <cell r="H67">
            <v>826174280</v>
          </cell>
        </row>
        <row r="71">
          <cell r="B71">
            <v>186500396</v>
          </cell>
          <cell r="C71">
            <v>218189068</v>
          </cell>
          <cell r="D71">
            <v>220721213</v>
          </cell>
          <cell r="E71">
            <v>221225150</v>
          </cell>
          <cell r="F71">
            <v>221202329</v>
          </cell>
          <cell r="G71">
            <v>221252677</v>
          </cell>
        </row>
        <row r="75">
          <cell r="B75">
            <v>283698005</v>
          </cell>
          <cell r="C75">
            <v>318857544</v>
          </cell>
          <cell r="D75">
            <v>324430707</v>
          </cell>
          <cell r="E75">
            <v>325280333</v>
          </cell>
          <cell r="F75">
            <v>325477142</v>
          </cell>
        </row>
        <row r="79">
          <cell r="B79">
            <v>338256149</v>
          </cell>
          <cell r="C79">
            <v>390286466</v>
          </cell>
          <cell r="D79">
            <v>398055506</v>
          </cell>
          <cell r="E79">
            <v>400109393</v>
          </cell>
        </row>
        <row r="83">
          <cell r="B83">
            <v>421926270</v>
          </cell>
          <cell r="C83">
            <v>488000821</v>
          </cell>
          <cell r="D83">
            <v>492939453</v>
          </cell>
        </row>
        <row r="87">
          <cell r="B87">
            <v>255495643</v>
          </cell>
          <cell r="C87">
            <v>298212205</v>
          </cell>
        </row>
        <row r="91">
          <cell r="B91">
            <v>580738274</v>
          </cell>
        </row>
      </sheetData>
      <sheetData sheetId="6"/>
      <sheetData sheetId="7">
        <row r="5">
          <cell r="W5">
            <v>1056280.8</v>
          </cell>
        </row>
      </sheetData>
      <sheetData sheetId="8">
        <row r="33">
          <cell r="B33">
            <v>23028882</v>
          </cell>
        </row>
        <row r="34">
          <cell r="E34">
            <v>111616003</v>
          </cell>
          <cell r="F34">
            <v>79155</v>
          </cell>
        </row>
        <row r="35">
          <cell r="E35">
            <v>128096479</v>
          </cell>
          <cell r="F35">
            <v>89874</v>
          </cell>
        </row>
        <row r="36">
          <cell r="E36">
            <v>86711448</v>
          </cell>
          <cell r="F36">
            <v>60646</v>
          </cell>
        </row>
        <row r="37">
          <cell r="E37">
            <v>85327979</v>
          </cell>
          <cell r="F37">
            <v>57651</v>
          </cell>
        </row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  <row r="53">
          <cell r="E53">
            <v>65036872</v>
          </cell>
          <cell r="F53">
            <v>39758</v>
          </cell>
        </row>
        <row r="54">
          <cell r="E54">
            <v>99948528</v>
          </cell>
          <cell r="F54">
            <v>60805</v>
          </cell>
        </row>
        <row r="55">
          <cell r="E55">
            <v>97063357</v>
          </cell>
          <cell r="F55">
            <v>57547</v>
          </cell>
        </row>
        <row r="56">
          <cell r="E56">
            <v>65697652</v>
          </cell>
          <cell r="F56">
            <v>38375</v>
          </cell>
        </row>
        <row r="57">
          <cell r="E57">
            <v>63498682</v>
          </cell>
          <cell r="F57">
            <v>38302</v>
          </cell>
        </row>
        <row r="58">
          <cell r="E58">
            <v>98472763</v>
          </cell>
          <cell r="F58">
            <v>59374</v>
          </cell>
        </row>
        <row r="59">
          <cell r="E59">
            <v>98544861</v>
          </cell>
          <cell r="F59">
            <v>57963</v>
          </cell>
        </row>
        <row r="60">
          <cell r="E60">
            <v>65820531</v>
          </cell>
          <cell r="F60">
            <v>37911</v>
          </cell>
        </row>
        <row r="61">
          <cell r="E61">
            <v>66582420</v>
          </cell>
          <cell r="F61">
            <v>39057</v>
          </cell>
        </row>
        <row r="62">
          <cell r="E62">
            <v>103031428</v>
          </cell>
          <cell r="F62">
            <v>60541</v>
          </cell>
        </row>
        <row r="63">
          <cell r="E63">
            <v>105341091</v>
          </cell>
          <cell r="F63">
            <v>59878</v>
          </cell>
        </row>
        <row r="64">
          <cell r="E64">
            <v>72365308</v>
          </cell>
          <cell r="F64">
            <v>39807</v>
          </cell>
        </row>
        <row r="65">
          <cell r="E65">
            <v>76134863</v>
          </cell>
          <cell r="F65">
            <v>40733</v>
          </cell>
        </row>
        <row r="66">
          <cell r="E66">
            <v>116935905</v>
          </cell>
          <cell r="F66">
            <v>61794</v>
          </cell>
        </row>
        <row r="67">
          <cell r="E67">
            <v>161132745</v>
          </cell>
          <cell r="F67">
            <v>79530</v>
          </cell>
        </row>
        <row r="68">
          <cell r="E68">
            <v>92639740</v>
          </cell>
          <cell r="F68">
            <v>43628</v>
          </cell>
        </row>
        <row r="69">
          <cell r="E69">
            <v>98545683</v>
          </cell>
          <cell r="F69">
            <v>46661</v>
          </cell>
        </row>
        <row r="70">
          <cell r="E70">
            <v>145450526</v>
          </cell>
          <cell r="F70">
            <v>68720</v>
          </cell>
        </row>
        <row r="71">
          <cell r="E71">
            <v>187414809</v>
          </cell>
          <cell r="F71">
            <v>83884</v>
          </cell>
        </row>
        <row r="72">
          <cell r="E72">
            <v>110838891</v>
          </cell>
          <cell r="F72">
            <v>48217</v>
          </cell>
        </row>
      </sheetData>
      <sheetData sheetId="9">
        <row r="23">
          <cell r="X23">
            <v>40162381</v>
          </cell>
          <cell r="Y23">
            <v>183156184</v>
          </cell>
        </row>
        <row r="24">
          <cell r="Y24">
            <v>86684858</v>
          </cell>
        </row>
        <row r="25">
          <cell r="Y25">
            <v>246412664</v>
          </cell>
        </row>
        <row r="26">
          <cell r="Y26">
            <v>6678115</v>
          </cell>
        </row>
        <row r="297">
          <cell r="J297">
            <v>2.1137730087108539</v>
          </cell>
        </row>
        <row r="298">
          <cell r="J298">
            <v>2.0155786842906265</v>
          </cell>
        </row>
        <row r="299">
          <cell r="J299">
            <v>1.9286250079478586</v>
          </cell>
        </row>
        <row r="300">
          <cell r="J300">
            <v>1.9239964550740354</v>
          </cell>
        </row>
        <row r="301">
          <cell r="J301">
            <v>1.8364634726042235</v>
          </cell>
        </row>
        <row r="302">
          <cell r="G302">
            <v>219412771.41374999</v>
          </cell>
          <cell r="J302">
            <v>1.7320113079002213</v>
          </cell>
          <cell r="O302">
            <v>380025401.1863414</v>
          </cell>
        </row>
        <row r="303">
          <cell r="G303">
            <v>250693787.58916676</v>
          </cell>
          <cell r="J303">
            <v>1.5736409509560276</v>
          </cell>
          <cell r="O303">
            <v>394502010.30058479</v>
          </cell>
        </row>
        <row r="304">
          <cell r="G304">
            <v>273154916.13250017</v>
          </cell>
          <cell r="J304">
            <v>1.4778548957967284</v>
          </cell>
          <cell r="O304">
            <v>403683330.11736012</v>
          </cell>
        </row>
        <row r="305">
          <cell r="G305">
            <v>292239326.51041698</v>
          </cell>
          <cell r="J305">
            <v>1.4413525093000297</v>
          </cell>
          <cell r="O305">
            <v>421219886.58194017</v>
          </cell>
        </row>
        <row r="306">
          <cell r="G306">
            <v>323323868.9816668</v>
          </cell>
          <cell r="J306">
            <v>1.3727418575616306</v>
          </cell>
          <cell r="O306">
            <v>443840208.49990654</v>
          </cell>
        </row>
        <row r="307">
          <cell r="G307">
            <v>346955938.10791683</v>
          </cell>
          <cell r="J307">
            <v>1.3075493593415137</v>
          </cell>
          <cell r="O307">
            <v>453662014.59274054</v>
          </cell>
        </row>
        <row r="308">
          <cell r="G308">
            <v>372022088.97291565</v>
          </cell>
          <cell r="J308">
            <v>1.2455465141622082</v>
          </cell>
          <cell r="O308">
            <v>463370816.11155796</v>
          </cell>
        </row>
        <row r="309">
          <cell r="G309">
            <v>403803905.31166744</v>
          </cell>
          <cell r="J309">
            <v>1.1864644900727379</v>
          </cell>
          <cell r="O309">
            <v>479098994.60498762</v>
          </cell>
        </row>
        <row r="310">
          <cell r="G310">
            <v>405934589.57833338</v>
          </cell>
          <cell r="J310">
            <v>1.1303877408726286</v>
          </cell>
          <cell r="O310">
            <v>458863483.65550995</v>
          </cell>
        </row>
        <row r="311">
          <cell r="G311">
            <v>376421384.29166651</v>
          </cell>
          <cell r="J311">
            <v>1.1025000000000003</v>
          </cell>
          <cell r="O311">
            <v>415004576.18156242</v>
          </cell>
        </row>
        <row r="312">
          <cell r="G312">
            <v>341468875.45833349</v>
          </cell>
          <cell r="J312">
            <v>1.0768211446107889</v>
          </cell>
          <cell r="O312">
            <v>367700905.3200016</v>
          </cell>
        </row>
        <row r="313">
          <cell r="G313">
            <v>322259385.91666698</v>
          </cell>
          <cell r="J313">
            <v>1.0499999999999947</v>
          </cell>
          <cell r="O313">
            <v>338372355.21249866</v>
          </cell>
        </row>
        <row r="314">
          <cell r="G314">
            <v>311420426.08333302</v>
          </cell>
          <cell r="J314">
            <v>1.0500000000000036</v>
          </cell>
          <cell r="O314">
            <v>326991447.38750076</v>
          </cell>
        </row>
        <row r="315">
          <cell r="G315">
            <v>319441102.04166603</v>
          </cell>
          <cell r="J315">
            <v>1.0500000000000056</v>
          </cell>
          <cell r="O315">
            <v>335413157.14375114</v>
          </cell>
        </row>
        <row r="316">
          <cell r="G316">
            <v>369077295</v>
          </cell>
          <cell r="J316">
            <v>1.0228262738748721</v>
          </cell>
          <cell r="O316">
            <v>377501954.41666698</v>
          </cell>
        </row>
        <row r="317">
          <cell r="G317">
            <v>477497545.37499905</v>
          </cell>
          <cell r="J317">
            <v>1</v>
          </cell>
          <cell r="O317">
            <v>477497545.37499905</v>
          </cell>
        </row>
        <row r="364">
          <cell r="J364">
            <v>1.2554550258753752</v>
          </cell>
        </row>
        <row r="365">
          <cell r="J365">
            <v>1.2366826048351114</v>
          </cell>
        </row>
        <row r="366">
          <cell r="J366">
            <v>1.2211286903055869</v>
          </cell>
        </row>
        <row r="367">
          <cell r="J367">
            <v>1.209879350760346</v>
          </cell>
        </row>
        <row r="368">
          <cell r="J368">
            <v>1.1957431804796248</v>
          </cell>
        </row>
        <row r="369">
          <cell r="J369">
            <v>1.1782858445697197</v>
          </cell>
        </row>
        <row r="370">
          <cell r="J370">
            <v>1.1631939660098261</v>
          </cell>
        </row>
        <row r="371">
          <cell r="J371">
            <v>1.1526095563201246</v>
          </cell>
        </row>
        <row r="372">
          <cell r="J372">
            <v>1.1390546968233883</v>
          </cell>
        </row>
        <row r="373">
          <cell r="J373">
            <v>1.1215581054592252</v>
          </cell>
        </row>
        <row r="374">
          <cell r="J374">
            <v>1.1079450605128376</v>
          </cell>
        </row>
        <row r="375">
          <cell r="J375">
            <v>1.1025</v>
          </cell>
        </row>
        <row r="376">
          <cell r="J376">
            <v>1.1025</v>
          </cell>
        </row>
        <row r="377">
          <cell r="J377">
            <v>1.1025</v>
          </cell>
        </row>
        <row r="378">
          <cell r="J378">
            <v>1.1025</v>
          </cell>
        </row>
        <row r="379">
          <cell r="J379">
            <v>1.0977035943920979</v>
          </cell>
        </row>
        <row r="380">
          <cell r="J380">
            <v>1.0847791225980552</v>
          </cell>
        </row>
        <row r="381">
          <cell r="J381">
            <v>1.0686047876661728</v>
          </cell>
        </row>
        <row r="382">
          <cell r="J382">
            <v>1.0552047637197421</v>
          </cell>
        </row>
        <row r="383">
          <cell r="J383">
            <v>1.05</v>
          </cell>
        </row>
        <row r="384">
          <cell r="J384">
            <v>1.0500000000000003</v>
          </cell>
        </row>
        <row r="385">
          <cell r="J385">
            <v>1.05</v>
          </cell>
        </row>
        <row r="386">
          <cell r="J386">
            <v>1.05</v>
          </cell>
        </row>
        <row r="387">
          <cell r="J387">
            <v>1.05</v>
          </cell>
        </row>
        <row r="388">
          <cell r="J388">
            <v>1.0500000000000003</v>
          </cell>
        </row>
        <row r="389">
          <cell r="J389">
            <v>1.05</v>
          </cell>
        </row>
        <row r="390">
          <cell r="J390">
            <v>1.05</v>
          </cell>
        </row>
        <row r="391">
          <cell r="J391">
            <v>1.0499999999999998</v>
          </cell>
        </row>
        <row r="392">
          <cell r="J392">
            <v>1.05</v>
          </cell>
        </row>
        <row r="393">
          <cell r="J393">
            <v>1.05</v>
          </cell>
        </row>
        <row r="394">
          <cell r="J394">
            <v>1.05</v>
          </cell>
        </row>
        <row r="395">
          <cell r="J395">
            <v>1.0450235261797916</v>
          </cell>
        </row>
        <row r="396">
          <cell r="J396">
            <v>1.0319942552468826</v>
          </cell>
        </row>
        <row r="397">
          <cell r="J397">
            <v>1.0156683690740602</v>
          </cell>
        </row>
        <row r="398">
          <cell r="J398">
            <v>1.0038901573963255</v>
          </cell>
        </row>
        <row r="399">
          <cell r="J399">
            <v>1</v>
          </cell>
        </row>
        <row r="400">
          <cell r="J400">
            <v>1</v>
          </cell>
        </row>
        <row r="401">
          <cell r="J401">
            <v>1</v>
          </cell>
        </row>
        <row r="402">
          <cell r="J402">
            <v>1</v>
          </cell>
        </row>
      </sheetData>
      <sheetData sheetId="10"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196.98</v>
          </cell>
        </row>
        <row r="131">
          <cell r="H131">
            <v>198.12</v>
          </cell>
        </row>
        <row r="132">
          <cell r="H132">
            <v>199.66</v>
          </cell>
        </row>
        <row r="133">
          <cell r="H133">
            <v>200.22</v>
          </cell>
        </row>
        <row r="134">
          <cell r="H134">
            <v>199.62</v>
          </cell>
        </row>
        <row r="135">
          <cell r="H135">
            <v>197.58</v>
          </cell>
        </row>
        <row r="136">
          <cell r="H136">
            <v>195.82</v>
          </cell>
        </row>
        <row r="137">
          <cell r="H137">
            <v>194.7</v>
          </cell>
        </row>
        <row r="138">
          <cell r="H138">
            <v>194.2</v>
          </cell>
        </row>
        <row r="139">
          <cell r="H139">
            <v>197.36</v>
          </cell>
        </row>
        <row r="140">
          <cell r="H140">
            <v>201.11</v>
          </cell>
        </row>
        <row r="141">
          <cell r="H141">
            <v>206.6</v>
          </cell>
        </row>
        <row r="142">
          <cell r="H142">
            <v>212.8</v>
          </cell>
        </row>
        <row r="143">
          <cell r="H143">
            <v>217.05</v>
          </cell>
        </row>
        <row r="144">
          <cell r="H144">
            <v>220.34</v>
          </cell>
        </row>
        <row r="145">
          <cell r="H145">
            <v>222.83</v>
          </cell>
        </row>
        <row r="146">
          <cell r="H146">
            <v>225.57</v>
          </cell>
        </row>
        <row r="147">
          <cell r="H147">
            <v>227.25</v>
          </cell>
        </row>
        <row r="148">
          <cell r="H148">
            <v>228.92</v>
          </cell>
        </row>
        <row r="149">
          <cell r="H149">
            <v>229.07</v>
          </cell>
        </row>
      </sheetData>
      <sheetData sheetId="11">
        <row r="70">
          <cell r="D70">
            <v>2220.3283021875</v>
          </cell>
          <cell r="E70">
            <v>2228.1152725000002</v>
          </cell>
        </row>
        <row r="71">
          <cell r="D71">
            <v>2239.6942039062501</v>
          </cell>
          <cell r="E71">
            <v>2253.0438375000003</v>
          </cell>
        </row>
        <row r="72">
          <cell r="D72">
            <v>2258.097684375</v>
          </cell>
          <cell r="E72">
            <v>2275.4013050000003</v>
          </cell>
        </row>
        <row r="73">
          <cell r="D73">
            <v>2276.2315937499998</v>
          </cell>
          <cell r="E73">
            <v>2297.1664168750003</v>
          </cell>
        </row>
        <row r="74">
          <cell r="D74">
            <v>2294.2500117187501</v>
          </cell>
          <cell r="E74">
            <v>2310.9768087499997</v>
          </cell>
        </row>
        <row r="75">
          <cell r="D75">
            <v>2308.207544375</v>
          </cell>
          <cell r="E75">
            <v>2322.926671875</v>
          </cell>
        </row>
        <row r="76">
          <cell r="D76">
            <v>2316.6742154687504</v>
          </cell>
          <cell r="E76">
            <v>2330.7859524999999</v>
          </cell>
        </row>
        <row r="77">
          <cell r="D77">
            <v>2320.5560001562499</v>
          </cell>
          <cell r="E77">
            <v>2333.6695606250005</v>
          </cell>
        </row>
        <row r="78">
          <cell r="D78">
            <v>2317.1148612500001</v>
          </cell>
          <cell r="E78">
            <v>2329.0952162499998</v>
          </cell>
        </row>
        <row r="79">
          <cell r="D79">
            <v>2309.1157557812498</v>
          </cell>
          <cell r="E79">
            <v>2321.2872825000004</v>
          </cell>
        </row>
        <row r="80">
          <cell r="D80">
            <v>2302.0210120312499</v>
          </cell>
          <cell r="E80">
            <v>2314.1371275000001</v>
          </cell>
        </row>
        <row r="81">
          <cell r="D81">
            <v>2297.3808087500001</v>
          </cell>
          <cell r="E81">
            <v>2308.7876624999999</v>
          </cell>
        </row>
        <row r="82">
          <cell r="D82">
            <v>2300.3061167187502</v>
          </cell>
          <cell r="E82">
            <v>2311.913693125</v>
          </cell>
        </row>
        <row r="83">
          <cell r="D83">
            <v>2310.7307646875001</v>
          </cell>
          <cell r="E83">
            <v>2324.5285118749998</v>
          </cell>
        </row>
        <row r="84">
          <cell r="D84">
            <v>2327.2925764062502</v>
          </cell>
          <cell r="E84">
            <v>2341.577415625</v>
          </cell>
        </row>
        <row r="85">
          <cell r="D85">
            <v>2344.8282396875002</v>
          </cell>
          <cell r="E85">
            <v>2360.9052300000003</v>
          </cell>
        </row>
        <row r="86">
          <cell r="D86">
            <v>2364.8108618750002</v>
          </cell>
          <cell r="E86">
            <v>2381.213536875</v>
          </cell>
        </row>
        <row r="87">
          <cell r="D87">
            <v>2388.1081287500001</v>
          </cell>
          <cell r="E87">
            <v>2405.087585625</v>
          </cell>
        </row>
        <row r="88">
          <cell r="D88">
            <v>2414.6807554687502</v>
          </cell>
          <cell r="E88">
            <v>2434.294940625</v>
          </cell>
        </row>
        <row r="89">
          <cell r="D89">
            <v>2442.3011040625001</v>
          </cell>
          <cell r="E89">
            <v>2468.5916043749999</v>
          </cell>
        </row>
        <row r="90">
          <cell r="D90">
            <v>2462.8844337500004</v>
          </cell>
          <cell r="E90">
            <v>2495.17299125</v>
          </cell>
        </row>
        <row r="91">
          <cell r="D91">
            <v>2472.7201762499999</v>
          </cell>
          <cell r="E91">
            <v>2509.1292012499998</v>
          </cell>
        </row>
        <row r="92">
          <cell r="D92">
            <v>2472.2661548437504</v>
          </cell>
          <cell r="E92">
            <v>2511.4064250000001</v>
          </cell>
        </row>
        <row r="93">
          <cell r="D93">
            <v>2470.0847985937498</v>
          </cell>
          <cell r="E93">
            <v>2505.0344875000001</v>
          </cell>
        </row>
        <row r="94">
          <cell r="D94">
            <v>2471.0252401562502</v>
          </cell>
          <cell r="E94">
            <v>2503.4177643749999</v>
          </cell>
        </row>
        <row r="95">
          <cell r="D95">
            <v>2477.9154082812502</v>
          </cell>
          <cell r="E95">
            <v>2503.8586843749999</v>
          </cell>
        </row>
        <row r="96">
          <cell r="D96">
            <v>2489.2858059374998</v>
          </cell>
          <cell r="E96">
            <v>2510.0869675000004</v>
          </cell>
        </row>
        <row r="97">
          <cell r="D97">
            <v>2517.5756589062503</v>
          </cell>
          <cell r="E97">
            <v>2532.6611631250003</v>
          </cell>
        </row>
        <row r="98">
          <cell r="D98">
            <v>2554.28473109375</v>
          </cell>
          <cell r="E98">
            <v>2564.7752381249998</v>
          </cell>
        </row>
        <row r="99">
          <cell r="D99">
            <v>2628.5109107812495</v>
          </cell>
          <cell r="E99">
            <v>2647.0168100000001</v>
          </cell>
        </row>
        <row r="100">
          <cell r="D100">
            <v>2779.9664721874997</v>
          </cell>
          <cell r="E100">
            <v>2798.64249875</v>
          </cell>
        </row>
        <row r="101">
          <cell r="D101">
            <v>2895.8794881250001</v>
          </cell>
          <cell r="E101">
            <v>2934.2977249999999</v>
          </cell>
        </row>
        <row r="102">
          <cell r="D102">
            <v>3017.6739801562503</v>
          </cell>
          <cell r="E102">
            <v>3069.4388468750003</v>
          </cell>
        </row>
        <row r="103">
          <cell r="D103">
            <v>3154.5641660937499</v>
          </cell>
          <cell r="E103">
            <v>3213.8373443750002</v>
          </cell>
        </row>
        <row r="104">
          <cell r="D104">
            <v>3219.5446149999998</v>
          </cell>
          <cell r="E104">
            <v>3295.1001925</v>
          </cell>
        </row>
        <row r="105">
          <cell r="D105">
            <v>3296.5095918749998</v>
          </cell>
          <cell r="E105">
            <v>3370.7473650000002</v>
          </cell>
        </row>
        <row r="106">
          <cell r="D106">
            <v>3345.1154200000001</v>
          </cell>
          <cell r="E106">
            <v>3421.7495743750001</v>
          </cell>
        </row>
        <row r="107">
          <cell r="D107">
            <v>3333.7936442187497</v>
          </cell>
          <cell r="E107">
            <v>3405.4807850000002</v>
          </cell>
        </row>
        <row r="108">
          <cell r="D108">
            <v>3308.2746353124999</v>
          </cell>
          <cell r="E108">
            <v>3374.4013487499997</v>
          </cell>
        </row>
        <row r="109">
          <cell r="D109">
            <v>3285.9603150000003</v>
          </cell>
          <cell r="E109">
            <v>3345.7722843749998</v>
          </cell>
        </row>
      </sheetData>
      <sheetData sheetId="12">
        <row r="42">
          <cell r="D42">
            <v>2304.9779534375002</v>
          </cell>
        </row>
      </sheetData>
      <sheetData sheetId="13">
        <row r="22">
          <cell r="D22">
            <v>128411458</v>
          </cell>
        </row>
        <row r="23">
          <cell r="D23">
            <v>2160281</v>
          </cell>
        </row>
        <row r="24">
          <cell r="D24">
            <v>517433153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"/>
      <sheetName val="2.3"/>
      <sheetName val="2.4"/>
      <sheetName val="3.1 premium trend"/>
      <sheetName val="3.2a"/>
      <sheetName val="3.2b"/>
      <sheetName val="3.2c"/>
      <sheetName val="3.2d"/>
      <sheetName val="4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"/>
      <sheetName val="9.1"/>
      <sheetName val="9.2"/>
      <sheetName val="9.3"/>
      <sheetName val="10.1"/>
      <sheetName val="10.2"/>
      <sheetName val="11.1"/>
      <sheetName val="11.2"/>
    </sheetNames>
    <sheetDataSet>
      <sheetData sheetId="0"/>
      <sheetData sheetId="1"/>
      <sheetData sheetId="2"/>
      <sheetData sheetId="3"/>
      <sheetData sheetId="4">
        <row r="14">
          <cell r="C14">
            <v>7871000</v>
          </cell>
          <cell r="D14">
            <v>7871000</v>
          </cell>
        </row>
        <row r="15">
          <cell r="C15">
            <v>138697000</v>
          </cell>
          <cell r="D15">
            <v>138836000</v>
          </cell>
        </row>
        <row r="16">
          <cell r="C16">
            <v>28422000</v>
          </cell>
          <cell r="D16">
            <v>28422000</v>
          </cell>
        </row>
        <row r="17">
          <cell r="C17">
            <v>1402282000</v>
          </cell>
          <cell r="D17">
            <v>1410332000</v>
          </cell>
        </row>
        <row r="18">
          <cell r="C18">
            <v>12097000</v>
          </cell>
          <cell r="D18">
            <v>12107000</v>
          </cell>
        </row>
        <row r="19">
          <cell r="C19">
            <v>17606000</v>
          </cell>
          <cell r="D19">
            <v>17832000</v>
          </cell>
        </row>
        <row r="20">
          <cell r="C20">
            <v>64031000</v>
          </cell>
          <cell r="D20">
            <v>65043000</v>
          </cell>
        </row>
        <row r="21">
          <cell r="C21">
            <v>64894000</v>
          </cell>
          <cell r="D21">
            <v>67732000</v>
          </cell>
        </row>
        <row r="22">
          <cell r="C22">
            <v>27771000</v>
          </cell>
          <cell r="D22">
            <v>30224000</v>
          </cell>
        </row>
        <row r="23">
          <cell r="C23">
            <v>57766000</v>
          </cell>
          <cell r="D23">
            <v>76706000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9">
          <cell r="N9">
            <v>45291</v>
          </cell>
        </row>
      </sheetData>
      <sheetData sheetId="12">
        <row r="13">
          <cell r="C13">
            <v>12911</v>
          </cell>
          <cell r="D13">
            <v>1318</v>
          </cell>
          <cell r="E13">
            <v>0.10199999999999999</v>
          </cell>
        </row>
        <row r="14">
          <cell r="C14">
            <v>2512</v>
          </cell>
          <cell r="D14">
            <v>543</v>
          </cell>
          <cell r="E14">
            <v>0.216</v>
          </cell>
        </row>
        <row r="15">
          <cell r="C15">
            <v>796</v>
          </cell>
          <cell r="D15">
            <v>565</v>
          </cell>
          <cell r="E15">
            <v>0.71</v>
          </cell>
        </row>
        <row r="16">
          <cell r="C16">
            <v>148999</v>
          </cell>
          <cell r="D16">
            <v>9127</v>
          </cell>
          <cell r="E16">
            <v>6.0999999999999999E-2</v>
          </cell>
        </row>
        <row r="17">
          <cell r="C17">
            <v>999</v>
          </cell>
          <cell r="D17">
            <v>324</v>
          </cell>
          <cell r="E17">
            <v>0.32400000000000001</v>
          </cell>
        </row>
        <row r="18">
          <cell r="C18">
            <v>512</v>
          </cell>
          <cell r="D18">
            <v>297</v>
          </cell>
          <cell r="E18">
            <v>0.57999999999999996</v>
          </cell>
        </row>
        <row r="19">
          <cell r="C19">
            <v>881</v>
          </cell>
          <cell r="D19">
            <v>505</v>
          </cell>
          <cell r="E19">
            <v>0.57299999999999995</v>
          </cell>
        </row>
        <row r="20">
          <cell r="C20">
            <v>1897</v>
          </cell>
          <cell r="D20">
            <v>1056</v>
          </cell>
          <cell r="E20">
            <v>0.55700000000000005</v>
          </cell>
        </row>
        <row r="21">
          <cell r="C21">
            <v>1160</v>
          </cell>
          <cell r="D21">
            <v>357</v>
          </cell>
          <cell r="E21">
            <v>0.308</v>
          </cell>
        </row>
        <row r="22">
          <cell r="C22">
            <v>12296</v>
          </cell>
          <cell r="D22">
            <v>3528</v>
          </cell>
          <cell r="E22">
            <v>0.28699999999999998</v>
          </cell>
        </row>
        <row r="23">
          <cell r="C23">
            <v>335</v>
          </cell>
          <cell r="D23">
            <v>225</v>
          </cell>
          <cell r="E23">
            <v>0.67200000000000004</v>
          </cell>
        </row>
        <row r="24">
          <cell r="C24">
            <v>1217</v>
          </cell>
          <cell r="D24">
            <v>729</v>
          </cell>
          <cell r="E24">
            <v>0.59899999999999998</v>
          </cell>
        </row>
        <row r="25">
          <cell r="C25">
            <v>489</v>
          </cell>
          <cell r="D25">
            <v>554</v>
          </cell>
          <cell r="E25">
            <v>1.133</v>
          </cell>
        </row>
        <row r="26">
          <cell r="C26">
            <v>3375</v>
          </cell>
          <cell r="D26">
            <v>1375</v>
          </cell>
          <cell r="E26">
            <v>0.40699999999999997</v>
          </cell>
        </row>
        <row r="27">
          <cell r="C27">
            <v>679</v>
          </cell>
          <cell r="D27">
            <v>507</v>
          </cell>
          <cell r="E27">
            <v>0.747</v>
          </cell>
        </row>
        <row r="28">
          <cell r="C28">
            <v>2977</v>
          </cell>
          <cell r="D28">
            <v>903</v>
          </cell>
          <cell r="E28">
            <v>0.30299999999999999</v>
          </cell>
        </row>
        <row r="29">
          <cell r="C29">
            <v>1166</v>
          </cell>
          <cell r="D29">
            <v>582</v>
          </cell>
          <cell r="E29">
            <v>0.499</v>
          </cell>
        </row>
        <row r="30">
          <cell r="C30">
            <v>2964</v>
          </cell>
          <cell r="D30">
            <v>1343</v>
          </cell>
          <cell r="E30">
            <v>0.45300000000000001</v>
          </cell>
        </row>
        <row r="31">
          <cell r="C31">
            <v>22401</v>
          </cell>
          <cell r="D31">
            <v>4732</v>
          </cell>
          <cell r="E31">
            <v>0.21099999999999999</v>
          </cell>
        </row>
        <row r="32">
          <cell r="C32">
            <v>8773</v>
          </cell>
          <cell r="D32">
            <v>2388</v>
          </cell>
          <cell r="E32">
            <v>0.27200000000000002</v>
          </cell>
        </row>
        <row r="33">
          <cell r="C33">
            <v>6227</v>
          </cell>
          <cell r="D33">
            <v>1885</v>
          </cell>
          <cell r="E33">
            <v>0.30299999999999999</v>
          </cell>
        </row>
        <row r="34">
          <cell r="C34">
            <v>24605</v>
          </cell>
          <cell r="D34">
            <v>1880</v>
          </cell>
          <cell r="E34">
            <v>7.5999999999999998E-2</v>
          </cell>
        </row>
        <row r="35">
          <cell r="C35">
            <v>5167</v>
          </cell>
          <cell r="D35">
            <v>5226</v>
          </cell>
          <cell r="E35">
            <v>1.0109999999999999</v>
          </cell>
        </row>
        <row r="36">
          <cell r="C36">
            <v>155001</v>
          </cell>
          <cell r="D36">
            <v>5122</v>
          </cell>
          <cell r="E36">
            <v>3.3000000000000002E-2</v>
          </cell>
        </row>
        <row r="37">
          <cell r="C37">
            <v>5167</v>
          </cell>
          <cell r="D37">
            <v>1471</v>
          </cell>
          <cell r="E37">
            <v>0.28499999999999998</v>
          </cell>
        </row>
        <row r="38">
          <cell r="C38">
            <v>154981</v>
          </cell>
          <cell r="D38">
            <v>20235</v>
          </cell>
          <cell r="E38">
            <v>0.13100000000000001</v>
          </cell>
        </row>
        <row r="39">
          <cell r="C39">
            <v>4276</v>
          </cell>
          <cell r="D39">
            <v>1110</v>
          </cell>
          <cell r="E39">
            <v>0.26</v>
          </cell>
        </row>
        <row r="40">
          <cell r="C40">
            <v>15745</v>
          </cell>
          <cell r="D40">
            <v>4941</v>
          </cell>
          <cell r="E40">
            <v>0.314</v>
          </cell>
        </row>
        <row r="41">
          <cell r="C41">
            <v>2583017</v>
          </cell>
          <cell r="D41">
            <v>346615</v>
          </cell>
          <cell r="E41">
            <v>0.13400000000000001</v>
          </cell>
        </row>
        <row r="42">
          <cell r="C42">
            <v>10407</v>
          </cell>
          <cell r="D42">
            <v>2219</v>
          </cell>
          <cell r="E42">
            <v>0.21299999999999999</v>
          </cell>
        </row>
        <row r="43">
          <cell r="C43">
            <v>18005</v>
          </cell>
          <cell r="D43">
            <v>4274</v>
          </cell>
          <cell r="E43">
            <v>0.23699999999999999</v>
          </cell>
        </row>
        <row r="44">
          <cell r="C44">
            <v>96073</v>
          </cell>
          <cell r="D44">
            <v>15108</v>
          </cell>
          <cell r="E44">
            <v>0.157</v>
          </cell>
        </row>
        <row r="45">
          <cell r="C45">
            <v>67492</v>
          </cell>
          <cell r="D45">
            <v>15833</v>
          </cell>
          <cell r="E45">
            <v>0.23499999999999999</v>
          </cell>
        </row>
        <row r="46">
          <cell r="C46">
            <v>70835</v>
          </cell>
          <cell r="D46">
            <v>13829</v>
          </cell>
          <cell r="E46">
            <v>0.19500000000000001</v>
          </cell>
        </row>
        <row r="47">
          <cell r="C47">
            <v>7871</v>
          </cell>
          <cell r="D47">
            <v>6928</v>
          </cell>
          <cell r="E47">
            <v>0.88</v>
          </cell>
        </row>
        <row r="48">
          <cell r="C48">
            <v>138836</v>
          </cell>
          <cell r="D48">
            <v>40141</v>
          </cell>
          <cell r="E48">
            <v>0.28899999999999998</v>
          </cell>
        </row>
        <row r="49">
          <cell r="C49">
            <v>28422</v>
          </cell>
          <cell r="D49">
            <v>15387</v>
          </cell>
          <cell r="E49">
            <v>0.54100000000000004</v>
          </cell>
        </row>
        <row r="50">
          <cell r="C50">
            <v>1410332</v>
          </cell>
          <cell r="D50">
            <v>278430</v>
          </cell>
          <cell r="E50">
            <v>0.19700000000000001</v>
          </cell>
        </row>
        <row r="51">
          <cell r="C51">
            <v>12107</v>
          </cell>
          <cell r="D51">
            <v>6802</v>
          </cell>
          <cell r="E51">
            <v>0.56200000000000006</v>
          </cell>
        </row>
        <row r="52">
          <cell r="C52">
            <v>17832</v>
          </cell>
          <cell r="D52">
            <v>9429</v>
          </cell>
          <cell r="E52">
            <v>0.52900000000000003</v>
          </cell>
        </row>
        <row r="53">
          <cell r="C53">
            <v>65043</v>
          </cell>
          <cell r="D53">
            <v>30047</v>
          </cell>
          <cell r="E53">
            <v>0.46200000000000002</v>
          </cell>
        </row>
        <row r="54">
          <cell r="C54">
            <v>67732</v>
          </cell>
          <cell r="D54">
            <v>28881</v>
          </cell>
          <cell r="E54">
            <v>0.42599999999999999</v>
          </cell>
        </row>
        <row r="55">
          <cell r="C55">
            <v>30224</v>
          </cell>
          <cell r="D55">
            <v>12361</v>
          </cell>
          <cell r="E55">
            <v>0.40899999999999997</v>
          </cell>
        </row>
        <row r="56">
          <cell r="C56">
            <v>76706</v>
          </cell>
          <cell r="D56">
            <v>22433</v>
          </cell>
          <cell r="E56">
            <v>0.29199999999999998</v>
          </cell>
        </row>
        <row r="68">
          <cell r="B68" t="str">
            <v>(2) - (3) 2014 - 2023: from most recent TWIA annual statement; 1980 - 2013: from prior TWIA annual statements</v>
          </cell>
        </row>
        <row r="69">
          <cell r="B69" t="str">
            <v>(4) = (3) / (2)</v>
          </cell>
        </row>
        <row r="70">
          <cell r="B70" t="str">
            <v>(5) "H" indicates hurricane year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7">
          <cell r="B57" t="str">
            <v>(1), (2) from NOAA Technical Memorandum NWS-NHC-6, updated with actual experience through 2023</v>
          </cell>
        </row>
      </sheetData>
      <sheetData sheetId="26"/>
      <sheetData sheetId="27"/>
      <sheetData sheetId="28"/>
      <sheetData sheetId="29">
        <row r="11">
          <cell r="M11">
            <v>45291</v>
          </cell>
        </row>
        <row r="14">
          <cell r="D14">
            <v>395112773</v>
          </cell>
          <cell r="E14">
            <v>518299032</v>
          </cell>
          <cell r="F14">
            <v>653043231</v>
          </cell>
          <cell r="G14">
            <v>815861000</v>
          </cell>
        </row>
        <row r="15">
          <cell r="D15">
            <v>378504197</v>
          </cell>
          <cell r="E15">
            <v>443490204</v>
          </cell>
          <cell r="F15">
            <v>589353024</v>
          </cell>
          <cell r="G15">
            <v>743860000</v>
          </cell>
        </row>
        <row r="18">
          <cell r="D18">
            <v>63161029</v>
          </cell>
          <cell r="E18">
            <v>82854389</v>
          </cell>
          <cell r="F18">
            <v>104392398</v>
          </cell>
          <cell r="G18">
            <v>130538000</v>
          </cell>
        </row>
        <row r="19">
          <cell r="H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H23">
            <v>0</v>
          </cell>
        </row>
        <row r="26">
          <cell r="D26">
            <v>29979903</v>
          </cell>
          <cell r="E26">
            <v>35578580</v>
          </cell>
          <cell r="F26">
            <v>36234634</v>
          </cell>
          <cell r="G26">
            <v>40243000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2">
          <cell r="H32">
            <v>5.1999999999999998E-2</v>
          </cell>
        </row>
        <row r="35">
          <cell r="D35">
            <v>7364210</v>
          </cell>
          <cell r="E35">
            <v>9499183</v>
          </cell>
          <cell r="F35">
            <v>11379394</v>
          </cell>
          <cell r="G35">
            <v>14889000</v>
          </cell>
        </row>
        <row r="36">
          <cell r="H36">
            <v>1.7999999999999999E-2</v>
          </cell>
        </row>
        <row r="40">
          <cell r="H40">
            <v>0</v>
          </cell>
        </row>
        <row r="44">
          <cell r="H44">
            <v>0.17799999999999999</v>
          </cell>
        </row>
        <row r="46">
          <cell r="H46">
            <v>0.05</v>
          </cell>
        </row>
        <row r="52">
          <cell r="B52" t="str">
            <v>(1) - (6) From TWIA's Statutory Annual Statements and Insurance Expense Exhibits. 2024 figures are projected</v>
          </cell>
        </row>
        <row r="53">
          <cell r="B53" t="str">
            <v>(7) Exhibit 10, Sheet 2</v>
          </cell>
        </row>
        <row r="54">
          <cell r="B54" t="str">
            <v>(8) Outstanding principal paid off in 2023</v>
          </cell>
        </row>
        <row r="55">
          <cell r="B55" t="str">
            <v>(9) = (5) + (7) + (8)</v>
          </cell>
        </row>
        <row r="56">
          <cell r="B56" t="str">
            <v>(10) = (3) + (4) + (6)</v>
          </cell>
        </row>
        <row r="57">
          <cell r="B57" t="str">
            <v xml:space="preserve">(11) CRTF contribution selected judgmentally </v>
          </cell>
        </row>
        <row r="58">
          <cell r="B58" t="str">
            <v>(12) = 100% - (10) - (11)</v>
          </cell>
        </row>
      </sheetData>
      <sheetData sheetId="30">
        <row r="10">
          <cell r="D10">
            <v>370310167.62198251</v>
          </cell>
          <cell r="E10">
            <v>288590979.33111674</v>
          </cell>
          <cell r="F10">
            <v>81719188.290865749</v>
          </cell>
          <cell r="J10">
            <v>45444</v>
          </cell>
          <cell r="K10">
            <v>45808</v>
          </cell>
        </row>
        <row r="13">
          <cell r="C13" t="str">
            <v>100% of $4050M XS $2450M</v>
          </cell>
          <cell r="D13">
            <v>74647712.481559396</v>
          </cell>
          <cell r="E13">
            <v>58850298.695193097</v>
          </cell>
          <cell r="F13">
            <v>15797413.786366301</v>
          </cell>
        </row>
        <row r="14">
          <cell r="J14">
            <v>45260</v>
          </cell>
        </row>
        <row r="17">
          <cell r="C17" t="str">
            <v>100% of $4050M XS $2450M</v>
          </cell>
          <cell r="D17">
            <v>58200781.228802994</v>
          </cell>
          <cell r="E17">
            <v>44681497.768127397</v>
          </cell>
          <cell r="F17">
            <v>13519283.460675601</v>
          </cell>
        </row>
        <row r="20">
          <cell r="D20">
            <v>66424246.855181202</v>
          </cell>
          <cell r="E20">
            <v>51765898.231660247</v>
          </cell>
          <cell r="F20">
            <v>14658348.623520952</v>
          </cell>
        </row>
        <row r="22">
          <cell r="D22">
            <v>293390889.76368266</v>
          </cell>
          <cell r="E22">
            <v>228646069.17885417</v>
          </cell>
          <cell r="F22">
            <v>64744820.584828489</v>
          </cell>
        </row>
        <row r="24">
          <cell r="D24">
            <v>648004892</v>
          </cell>
          <cell r="E24">
            <v>519593434</v>
          </cell>
          <cell r="F24">
            <v>128411458</v>
          </cell>
        </row>
        <row r="26">
          <cell r="D26">
            <v>0.45276030071032652</v>
          </cell>
          <cell r="E26">
            <v>0.44004803413057403</v>
          </cell>
          <cell r="F26">
            <v>0.50419815796210721</v>
          </cell>
        </row>
        <row r="30">
          <cell r="B30" t="str">
            <v>(1) From TWIA reinsurance contract effective 6/1/2024 through 5/31/2025</v>
          </cell>
        </row>
        <row r="31">
          <cell r="B31" t="str">
            <v>(2a) Provided by Aon, based on Verisk model using TWIA exposures as of 11/30/2023</v>
          </cell>
        </row>
        <row r="32">
          <cell r="B32" t="str">
            <v>(2b) Provided by Aon, based on RMS model using TWIA exposures as of 11/30/2023</v>
          </cell>
        </row>
        <row r="33">
          <cell r="B33" t="str">
            <v>(2c) Selected to be equal to the average of the RMS and Verisk catastrophe models</v>
          </cell>
        </row>
        <row r="34">
          <cell r="B34" t="str">
            <v>(3) = (1) - (2c) * 1.158. 1.158 is the LAE loading.</v>
          </cell>
        </row>
        <row r="35">
          <cell r="B35" t="str">
            <v>(4) Exhibit 7, Sheet 1</v>
          </cell>
        </row>
        <row r="36">
          <cell r="B36" t="str">
            <v>(5) = (3) / (4)</v>
          </cell>
        </row>
      </sheetData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1">
          <cell r="L11">
            <v>44926</v>
          </cell>
        </row>
        <row r="40">
          <cell r="A40" t="str">
            <v>(8)</v>
          </cell>
          <cell r="B40" t="str">
            <v>Outstanding Class 1 Public Security Repayment</v>
          </cell>
        </row>
        <row r="42">
          <cell r="A42" t="str">
            <v>(9)</v>
          </cell>
          <cell r="B42" t="str">
            <v>Total Fixed Expenses</v>
          </cell>
        </row>
        <row r="44">
          <cell r="A44" t="str">
            <v>(10)</v>
          </cell>
          <cell r="B44" t="str">
            <v>Total Variable Expenses</v>
          </cell>
        </row>
        <row r="46">
          <cell r="A46" t="str">
            <v>(11)</v>
          </cell>
          <cell r="B46" t="str">
            <v>CRTF Contribution &amp; UW Contingency &amp; Uncertainty</v>
          </cell>
        </row>
      </sheetData>
      <sheetData sheetId="39" refreshError="1">
        <row r="7">
          <cell r="D7" t="str">
            <v>Combined</v>
          </cell>
          <cell r="E7" t="str">
            <v>Residential</v>
          </cell>
          <cell r="F7" t="str">
            <v>Commercial</v>
          </cell>
        </row>
      </sheetData>
      <sheetData sheetId="40" refreshError="1"/>
      <sheetData sheetId="41" refreshError="1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  <row r="39">
          <cell r="C39">
            <v>59123729</v>
          </cell>
          <cell r="D39">
            <v>314907158.99999952</v>
          </cell>
          <cell r="F39">
            <v>372016601</v>
          </cell>
        </row>
        <row r="40">
          <cell r="C40">
            <v>60327052</v>
          </cell>
          <cell r="D40">
            <v>310312753</v>
          </cell>
          <cell r="F40">
            <v>369600488</v>
          </cell>
        </row>
        <row r="41">
          <cell r="C41">
            <v>63366551</v>
          </cell>
          <cell r="D41">
            <v>331736850</v>
          </cell>
          <cell r="F41">
            <v>395112773</v>
          </cell>
        </row>
        <row r="42">
          <cell r="C42">
            <v>88784127</v>
          </cell>
          <cell r="D42">
            <v>429663068</v>
          </cell>
          <cell r="F42">
            <v>518299032</v>
          </cell>
        </row>
        <row r="43">
          <cell r="C43">
            <v>130162738</v>
          </cell>
          <cell r="D43">
            <v>522931821</v>
          </cell>
          <cell r="F43">
            <v>653043231</v>
          </cell>
        </row>
        <row r="49">
          <cell r="B49" t="str">
            <v>(2), (3) Provided by TWIA, as of 12/31/2023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9CF4-958E-4F41-87CA-8E5C65EFF1A2}">
  <dimension ref="B31:I33"/>
  <sheetViews>
    <sheetView showGridLines="0" tabSelected="1" zoomScaleNormal="100" workbookViewId="0"/>
  </sheetViews>
  <sheetFormatPr defaultRowHeight="11.25" x14ac:dyDescent="0.2"/>
  <cols>
    <col min="1" max="1" width="13.5" customWidth="1"/>
    <col min="2" max="2" width="12.33203125" customWidth="1"/>
    <col min="3" max="12" width="10.5" customWidth="1"/>
  </cols>
  <sheetData>
    <row r="31" spans="2:9" ht="15.75" x14ac:dyDescent="0.25">
      <c r="B31" s="243" t="s">
        <v>0</v>
      </c>
      <c r="C31" s="243"/>
      <c r="D31" s="243"/>
      <c r="E31" s="243"/>
      <c r="F31" s="243"/>
      <c r="G31" s="243"/>
      <c r="H31" s="243"/>
      <c r="I31" s="243"/>
    </row>
    <row r="32" spans="2:9" ht="15.75" x14ac:dyDescent="0.25">
      <c r="B32" s="243" t="s">
        <v>1</v>
      </c>
      <c r="C32" s="243"/>
      <c r="D32" s="243"/>
      <c r="E32" s="243"/>
      <c r="F32" s="243"/>
      <c r="G32" s="243"/>
      <c r="H32" s="243"/>
      <c r="I32" s="243"/>
    </row>
    <row r="33" spans="2:9" ht="15.75" x14ac:dyDescent="0.25">
      <c r="B33" s="243" t="s">
        <v>425</v>
      </c>
      <c r="C33" s="243"/>
      <c r="D33" s="243"/>
      <c r="E33" s="243"/>
      <c r="F33" s="243"/>
      <c r="G33" s="243"/>
      <c r="H33" s="243"/>
      <c r="I33" s="243"/>
    </row>
  </sheetData>
  <mergeCells count="3">
    <mergeCell ref="B31:I31"/>
    <mergeCell ref="B32:I32"/>
    <mergeCell ref="B33:I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997-B5B2-4662-9320-B70C2A511345}">
  <sheetPr>
    <pageSetUpPr fitToPage="1"/>
  </sheetPr>
  <dimension ref="A1:G52"/>
  <sheetViews>
    <sheetView showGridLines="0" zoomScaleNormal="100" workbookViewId="0"/>
  </sheetViews>
  <sheetFormatPr defaultRowHeight="11.25" x14ac:dyDescent="0.2"/>
  <cols>
    <col min="1" max="1" width="15.83203125" customWidth="1"/>
    <col min="2" max="2" width="66.5" bestFit="1" customWidth="1"/>
    <col min="3" max="3" width="1.83203125" customWidth="1"/>
    <col min="4" max="4" width="115.33203125" bestFit="1" customWidth="1"/>
    <col min="5" max="5" width="1.83203125" customWidth="1"/>
    <col min="6" max="6" width="8.83203125" bestFit="1" customWidth="1"/>
    <col min="7" max="7" width="8.33203125" bestFit="1" customWidth="1"/>
  </cols>
  <sheetData>
    <row r="1" spans="1:7" ht="12" thickBot="1" x14ac:dyDescent="0.25"/>
    <row r="2" spans="1:7" x14ac:dyDescent="0.2">
      <c r="A2" s="212" t="s">
        <v>0</v>
      </c>
      <c r="B2" s="213"/>
      <c r="C2" s="213"/>
      <c r="D2" s="213"/>
      <c r="E2" s="213"/>
      <c r="F2" s="213"/>
      <c r="G2" s="214"/>
    </row>
    <row r="3" spans="1:7" x14ac:dyDescent="0.2">
      <c r="A3" s="215" t="s">
        <v>1</v>
      </c>
      <c r="G3" s="216"/>
    </row>
    <row r="4" spans="1:7" x14ac:dyDescent="0.2">
      <c r="A4" s="215" t="s">
        <v>2</v>
      </c>
      <c r="G4" s="216"/>
    </row>
    <row r="5" spans="1:7" hidden="1" x14ac:dyDescent="0.2">
      <c r="A5" s="217"/>
      <c r="B5" s="8"/>
      <c r="G5" s="216"/>
    </row>
    <row r="6" spans="1:7" x14ac:dyDescent="0.2">
      <c r="A6" s="218" t="s">
        <v>342</v>
      </c>
      <c r="B6" s="219"/>
      <c r="C6" s="219"/>
      <c r="D6" s="219"/>
      <c r="E6" s="219"/>
      <c r="F6" s="219"/>
      <c r="G6" s="220"/>
    </row>
    <row r="7" spans="1:7" hidden="1" x14ac:dyDescent="0.2">
      <c r="A7" s="217"/>
      <c r="B7" s="8"/>
      <c r="G7" s="216"/>
    </row>
    <row r="8" spans="1:7" x14ac:dyDescent="0.2">
      <c r="A8" s="217"/>
      <c r="G8" s="216"/>
    </row>
    <row r="9" spans="1:7" x14ac:dyDescent="0.2">
      <c r="A9" s="221" t="s">
        <v>451</v>
      </c>
      <c r="B9" s="144" t="s">
        <v>343</v>
      </c>
      <c r="D9" s="144" t="s">
        <v>452</v>
      </c>
      <c r="F9" s="144" t="s">
        <v>344</v>
      </c>
      <c r="G9" s="222" t="s">
        <v>345</v>
      </c>
    </row>
    <row r="10" spans="1:7" x14ac:dyDescent="0.2">
      <c r="A10" s="223">
        <v>1</v>
      </c>
      <c r="B10" t="str">
        <f>'1'!A4</f>
        <v>Summary of Indicated Rate Change</v>
      </c>
      <c r="D10" t="str">
        <f>'1'!$A$5</f>
        <v>By Method for Projecting Hurricane Loss &amp; LAE</v>
      </c>
      <c r="F10" t="str">
        <f>'1'!$K$1</f>
        <v>Exhibit 1</v>
      </c>
      <c r="G10" s="224"/>
    </row>
    <row r="11" spans="1:7" x14ac:dyDescent="0.2">
      <c r="A11" s="223">
        <v>2.1</v>
      </c>
      <c r="B11" t="str">
        <f>'2.1'!$A$4</f>
        <v>Projected Ultimate Non-Hurricane Loss &amp; LAE Ratio</v>
      </c>
      <c r="D11" t="str">
        <f>'2.1'!$A$5</f>
        <v>All Territory Weighted Average</v>
      </c>
      <c r="F11" t="str">
        <f>'2.1'!$J$1</f>
        <v>Exhibit 2</v>
      </c>
      <c r="G11" s="216" t="str">
        <f>'2.1'!$J$2</f>
        <v>Sheet 1</v>
      </c>
    </row>
    <row r="12" spans="1:7" x14ac:dyDescent="0.2">
      <c r="A12" s="223" t="s">
        <v>346</v>
      </c>
      <c r="B12" t="str">
        <f>'2.2a'!$A$4</f>
        <v>Projected Ultimate Non-Hurricane Loss &amp; LAE Ratio</v>
      </c>
      <c r="D12" t="str">
        <f>'2.2a'!$A$5</f>
        <v>Tier 1 -- Territory 8 (Galveston County)</v>
      </c>
      <c r="F12" t="str">
        <f>'2.2a'!$J$1</f>
        <v>Exhibit 2</v>
      </c>
      <c r="G12" s="216" t="str">
        <f>'2.2a'!$J$2</f>
        <v>Sheet 2a</v>
      </c>
    </row>
    <row r="13" spans="1:7" x14ac:dyDescent="0.2">
      <c r="A13" s="223" t="s">
        <v>347</v>
      </c>
      <c r="B13" t="str">
        <f>'2.2b'!$A$4</f>
        <v>Projected Ultimate Non-Hurricane Loss &amp; LAE Ratio</v>
      </c>
      <c r="D13" t="str">
        <f>'2.2b'!$A$5</f>
        <v>Tier 1 -- Territory 9 (Nueces County)</v>
      </c>
      <c r="F13" t="str">
        <f>'2.2b'!$J$1</f>
        <v>Exhibit 2</v>
      </c>
      <c r="G13" s="216" t="str">
        <f>'2.2b'!$J$2</f>
        <v>Sheet 2b</v>
      </c>
    </row>
    <row r="14" spans="1:7" x14ac:dyDescent="0.2">
      <c r="A14" s="223" t="s">
        <v>348</v>
      </c>
      <c r="B14" t="str">
        <f>'2.2c'!$A$4</f>
        <v>Projected Ultimate Non-Hurricane Loss &amp; LAE Ratio</v>
      </c>
      <c r="D14" t="str">
        <f>'2.2c'!$A$5</f>
        <v>Tier 1 -- Territory 10 (Other Tier 1)</v>
      </c>
      <c r="F14" t="str">
        <f>'2.2c'!$J$1</f>
        <v>Exhibit 2</v>
      </c>
      <c r="G14" s="216" t="str">
        <f>'2.2c'!$J$2</f>
        <v>Sheet 2c</v>
      </c>
    </row>
    <row r="15" spans="1:7" x14ac:dyDescent="0.2">
      <c r="A15" s="223" t="s">
        <v>349</v>
      </c>
      <c r="B15" t="str">
        <f>'2.2d'!$A$4</f>
        <v>Projected Ultimate Non-Hurricane Loss &amp; LAE Ratio</v>
      </c>
      <c r="D15" t="str">
        <f>'2.2d'!$A$5</f>
        <v>Tier 2 -- (Territories 1 and 11)</v>
      </c>
      <c r="F15" t="str">
        <f>'2.2d'!$J$1</f>
        <v>Exhibit 2</v>
      </c>
      <c r="G15" s="216" t="str">
        <f>'2.2d'!$J$2</f>
        <v>Sheet 2d</v>
      </c>
    </row>
    <row r="16" spans="1:7" x14ac:dyDescent="0.2">
      <c r="A16" s="223" t="s">
        <v>350</v>
      </c>
      <c r="B16" t="str">
        <f>'2.3a'!$A$4</f>
        <v>Interpolation of Development Factors</v>
      </c>
      <c r="F16" t="str">
        <f>'2.3a'!M1</f>
        <v>Exhibit 2</v>
      </c>
      <c r="G16" s="216" t="str">
        <f>'2.3a'!M2</f>
        <v>Sheet 3a</v>
      </c>
    </row>
    <row r="17" spans="1:7" x14ac:dyDescent="0.2">
      <c r="A17" s="223" t="s">
        <v>351</v>
      </c>
      <c r="B17" t="str">
        <f>'2.3b'!$A$4</f>
        <v>Projected Ultimate Non-Hurricane Loss</v>
      </c>
      <c r="D17" t="str">
        <f>'2.3b'!$A$5</f>
        <v>Tier 1 -- Territory 8 (Galveston County)</v>
      </c>
      <c r="F17" t="str">
        <f>'2.3b'!$J$1</f>
        <v>Exhibit 2</v>
      </c>
      <c r="G17" s="216" t="str">
        <f>'2.3b'!$J$2</f>
        <v>Sheet 3b</v>
      </c>
    </row>
    <row r="18" spans="1:7" x14ac:dyDescent="0.2">
      <c r="A18" s="223" t="s">
        <v>352</v>
      </c>
      <c r="B18" t="str">
        <f>'2.3c'!$A$4</f>
        <v>Projected Ultimate Non-Hurricane Loss</v>
      </c>
      <c r="D18" t="str">
        <f>'2.3c'!$A$5</f>
        <v>Tier 1 -- Territory 9 (Nueces County)</v>
      </c>
      <c r="F18" t="str">
        <f>'2.3c'!$J$1</f>
        <v>Exhibit 2</v>
      </c>
      <c r="G18" s="216" t="str">
        <f>'2.3c'!$J$2</f>
        <v>Sheet 3c</v>
      </c>
    </row>
    <row r="19" spans="1:7" x14ac:dyDescent="0.2">
      <c r="A19" s="223" t="s">
        <v>353</v>
      </c>
      <c r="B19" t="str">
        <f>'2.3d'!$A$4</f>
        <v>Projected Ultimate Non-Hurricane Loss</v>
      </c>
      <c r="D19" t="str">
        <f>'2.3d'!$A$5</f>
        <v>Tier 1 -- Territory 10 (Other Tier 1)</v>
      </c>
      <c r="F19" t="str">
        <f>'2.3d'!$J$1</f>
        <v>Exhibit 2</v>
      </c>
      <c r="G19" s="216" t="str">
        <f>'2.3d'!$J$2</f>
        <v>Sheet 3d</v>
      </c>
    </row>
    <row r="20" spans="1:7" x14ac:dyDescent="0.2">
      <c r="A20" s="223" t="s">
        <v>437</v>
      </c>
      <c r="B20" t="str">
        <f>'2.3e'!$A$4</f>
        <v>Projected Ultimate Non-Hurricane Loss</v>
      </c>
      <c r="D20" t="str">
        <f>'2.3e'!$A$5</f>
        <v>Tier 2 -- (Territories 1 and 11)</v>
      </c>
      <c r="F20" t="str">
        <f>'2.3e'!$J$1</f>
        <v>Exhibit 2</v>
      </c>
      <c r="G20" s="216" t="str">
        <f>'2.3e'!$J$2</f>
        <v>Sheet 3e</v>
      </c>
    </row>
    <row r="21" spans="1:7" x14ac:dyDescent="0.2">
      <c r="A21" s="223" t="s">
        <v>354</v>
      </c>
      <c r="B21" t="str">
        <f>'2.4a'!A4</f>
        <v>Summary of TWIA Historical Paid Loss as of 12/31/23</v>
      </c>
      <c r="D21" t="str">
        <f>'2.4a'!$A$5</f>
        <v>Tier 1 -- Territory 8 (Galveston County)</v>
      </c>
      <c r="F21" t="str">
        <f>'2.4a'!$J$1</f>
        <v>Exhibit 2</v>
      </c>
      <c r="G21" s="216" t="str">
        <f>'2.4a'!$J$2</f>
        <v>Sheet 4a</v>
      </c>
    </row>
    <row r="22" spans="1:7" x14ac:dyDescent="0.2">
      <c r="A22" s="223" t="s">
        <v>355</v>
      </c>
      <c r="B22" t="str">
        <f>'2.4b'!A4</f>
        <v>Summary of TWIA Historical Paid Loss as of 12/31/23</v>
      </c>
      <c r="D22" t="str">
        <f>'2.4b'!$A$5</f>
        <v>Tier 1 -- Territory 9 (Nueces County)</v>
      </c>
      <c r="F22" t="str">
        <f>'2.4b'!$J$1</f>
        <v>Exhibit 2</v>
      </c>
      <c r="G22" s="216" t="str">
        <f>'2.4b'!$J$2</f>
        <v>Sheet 4b</v>
      </c>
    </row>
    <row r="23" spans="1:7" x14ac:dyDescent="0.2">
      <c r="A23" s="223" t="s">
        <v>356</v>
      </c>
      <c r="B23" t="str">
        <f>'2.4c'!A4</f>
        <v>Summary of TWIA Historical Paid Loss as of 12/31/23</v>
      </c>
      <c r="D23" t="str">
        <f>'2.4c'!$A$5</f>
        <v>Tier 1 -- Territory 10 (Other Tier 1)</v>
      </c>
      <c r="F23" t="str">
        <f>'2.4c'!$J$1</f>
        <v>Exhibit 2</v>
      </c>
      <c r="G23" s="216" t="str">
        <f>'2.4c'!$J$2</f>
        <v>Sheet 4c</v>
      </c>
    </row>
    <row r="24" spans="1:7" x14ac:dyDescent="0.2">
      <c r="A24" s="223" t="s">
        <v>357</v>
      </c>
      <c r="B24" t="str">
        <f>'2.4d'!A4</f>
        <v>Summary of TWIA Historical Paid Loss as of 12/31/23</v>
      </c>
      <c r="D24" t="str">
        <f>'2.4d'!$A$5</f>
        <v>Tier 2 -- (Territories 1 and 11)</v>
      </c>
      <c r="F24" t="str">
        <f>'2.4d'!$J$1</f>
        <v>Exhibit 2</v>
      </c>
      <c r="G24" s="216" t="str">
        <f>'2.4d'!$J$2</f>
        <v>Sheet 4d</v>
      </c>
    </row>
    <row r="25" spans="1:7" x14ac:dyDescent="0.2">
      <c r="A25" s="223">
        <v>2.5</v>
      </c>
      <c r="B25" t="str">
        <f>'2.5'!$A$4</f>
        <v>Calculation of Net Trend Factors</v>
      </c>
      <c r="D25" s="225"/>
      <c r="F25" t="str">
        <f>'2.5'!$L$1</f>
        <v>Exhibit 2</v>
      </c>
      <c r="G25" s="216" t="str">
        <f>'2.5'!$L$2</f>
        <v>Sheet 5</v>
      </c>
    </row>
    <row r="26" spans="1:7" x14ac:dyDescent="0.2">
      <c r="A26" s="223" t="s">
        <v>444</v>
      </c>
      <c r="B26" t="str">
        <f>'3.1 ldf'!$A$4</f>
        <v>Incurred Loss Development Factors</v>
      </c>
      <c r="D26" t="str">
        <f>'3.1 ldf'!$A$5</f>
        <v>Statewide Industry Extended Coverage Dwelling Incurred Loss</v>
      </c>
      <c r="F26" t="str">
        <f>'3.1 ldf'!$L$1</f>
        <v>Exhibit 3</v>
      </c>
      <c r="G26" s="216" t="str">
        <f>'3.1 ldf'!$L$2</f>
        <v>Sheet 1</v>
      </c>
    </row>
    <row r="27" spans="1:7" x14ac:dyDescent="0.2">
      <c r="A27" s="223" t="s">
        <v>358</v>
      </c>
      <c r="B27" t="str">
        <f>'3.2 premium trend'!$A$4</f>
        <v>Premium Trend Analysis</v>
      </c>
      <c r="D27" t="str">
        <f>'3.2 premium trend'!$A$5</f>
        <v>TWIA Residential Written Premium at Present Rates (WPPR)</v>
      </c>
      <c r="F27" t="str">
        <f>'3.2 premium trend'!L1</f>
        <v>Exhibit 3</v>
      </c>
      <c r="G27" s="216" t="str">
        <f>'3.2 premium trend'!L2</f>
        <v>Sheet 2</v>
      </c>
    </row>
    <row r="28" spans="1:7" x14ac:dyDescent="0.2">
      <c r="A28" s="223" t="s">
        <v>359</v>
      </c>
      <c r="B28" t="str">
        <f>'3.3a'!$A$4</f>
        <v>Loss Trend Analysis</v>
      </c>
      <c r="D28" t="str">
        <f>'3.3a'!$A$5</f>
        <v>Summary of Indices and Calculation of Prospective Loss Costs</v>
      </c>
      <c r="F28" t="str">
        <f>'3.3a'!$L$1</f>
        <v>Exhibit 3</v>
      </c>
      <c r="G28" s="216" t="str">
        <f>'3.3a'!$L$2</f>
        <v>Sheet 3a</v>
      </c>
    </row>
    <row r="29" spans="1:7" x14ac:dyDescent="0.2">
      <c r="A29" s="223" t="s">
        <v>360</v>
      </c>
      <c r="B29" t="str">
        <f>'3.3b'!$A$4</f>
        <v>Loss Trend Analysis</v>
      </c>
      <c r="D29" t="str">
        <f>'3.3b'!$A$5</f>
        <v>Boeckh Residential Construction Index Trend (Statewide)</v>
      </c>
      <c r="F29" t="str">
        <f>'3.3b'!$L$1</f>
        <v>Exhibit 3</v>
      </c>
      <c r="G29" s="216" t="str">
        <f>'3.3b'!$L$2</f>
        <v>Sheet 3b</v>
      </c>
    </row>
    <row r="30" spans="1:7" x14ac:dyDescent="0.2">
      <c r="A30" s="223" t="s">
        <v>361</v>
      </c>
      <c r="B30" t="str">
        <f>'3.3c'!$A$4</f>
        <v>Loss Trend Analysis</v>
      </c>
      <c r="D30" t="str">
        <f>'3.3c'!$A$5</f>
        <v>Boeckh Residential Construction Index Trend (Coastal)</v>
      </c>
      <c r="F30" t="str">
        <f>'3.3c'!$L$1</f>
        <v>Exhibit 3</v>
      </c>
      <c r="G30" s="216" t="str">
        <f>'3.3c'!$L$2</f>
        <v>Sheet 3c</v>
      </c>
    </row>
    <row r="31" spans="1:7" x14ac:dyDescent="0.2">
      <c r="A31" s="223" t="s">
        <v>362</v>
      </c>
      <c r="B31" t="str">
        <f>'3.3d'!$A$4</f>
        <v>Loss Trend Analysis</v>
      </c>
      <c r="D31" t="str">
        <f>'3.3d'!$A$5</f>
        <v>Modified Consumer Price Index - External Trend</v>
      </c>
      <c r="F31" t="str">
        <f>'3.3d'!$L$1</f>
        <v>Exhibit 3</v>
      </c>
      <c r="G31" s="216" t="str">
        <f>'3.3d'!$L$2</f>
        <v>Sheet 3d</v>
      </c>
    </row>
    <row r="32" spans="1:7" x14ac:dyDescent="0.2">
      <c r="A32" s="223">
        <v>4</v>
      </c>
      <c r="B32" t="str">
        <f>'4'!$A$4</f>
        <v>Development of LAE Factor Using TWIA Commercial + Residential Experience</v>
      </c>
      <c r="D32" s="226"/>
      <c r="F32" t="str">
        <f>+'4'!J1</f>
        <v>Exhibit 4</v>
      </c>
      <c r="G32" s="216"/>
    </row>
    <row r="33" spans="1:7" x14ac:dyDescent="0.2">
      <c r="A33" s="223">
        <v>5</v>
      </c>
      <c r="B33" t="str">
        <f>'5'!A4</f>
        <v>Summary of Indicated Hurricane Loss &amp; LAE Ratios</v>
      </c>
      <c r="D33" s="226"/>
      <c r="F33" t="str">
        <f>+'5'!H1</f>
        <v>Exhibit 5</v>
      </c>
      <c r="G33" s="224"/>
    </row>
    <row r="34" spans="1:7" x14ac:dyDescent="0.2">
      <c r="A34" s="223">
        <v>6.1</v>
      </c>
      <c r="B34" t="str">
        <f>'6.1'!A4</f>
        <v>Industry Experience -- Residential Extended Coverage</v>
      </c>
      <c r="D34" t="str">
        <f>'6.1'!A5</f>
        <v>Hurricane Years Only</v>
      </c>
      <c r="F34" t="str">
        <f>'6.1'!J1</f>
        <v>Exhibit 6</v>
      </c>
      <c r="G34" s="216" t="str">
        <f>+'6.1'!J2</f>
        <v>Sheet 1</v>
      </c>
    </row>
    <row r="35" spans="1:7" x14ac:dyDescent="0.2">
      <c r="A35" s="223">
        <v>6.2</v>
      </c>
      <c r="B35" t="str">
        <f>'6.2'!A4</f>
        <v>Industry Experience -- Residential Extended Coverage</v>
      </c>
      <c r="D35" t="str">
        <f>'6.2'!A5</f>
        <v>Non-Hurricane Loss Ratio</v>
      </c>
      <c r="F35" t="str">
        <f>+'6.2'!J1</f>
        <v>Exhibit 6</v>
      </c>
      <c r="G35" s="216" t="str">
        <f>+'6.2'!J2</f>
        <v>Sheet 2</v>
      </c>
    </row>
    <row r="36" spans="1:7" x14ac:dyDescent="0.2">
      <c r="A36" s="223">
        <v>6.3</v>
      </c>
      <c r="B36" t="str">
        <f>'6.3'!A4</f>
        <v>Industry Experience -- Residential Extended Coverage</v>
      </c>
      <c r="D36" t="str">
        <f>'6.3'!A5</f>
        <v>Summary by Territory</v>
      </c>
      <c r="F36" t="str">
        <f>'6.3'!I1</f>
        <v>Exhibit 6</v>
      </c>
      <c r="G36" s="216" t="str">
        <f>'6.3'!I2</f>
        <v>Sheet 3</v>
      </c>
    </row>
    <row r="37" spans="1:7" x14ac:dyDescent="0.2">
      <c r="A37" s="223">
        <v>6.4</v>
      </c>
      <c r="B37" t="str">
        <f>'6.4'!$A$4</f>
        <v>Industry Experience -- Residential Extended Coverage</v>
      </c>
      <c r="D37" t="str">
        <f>+'6.4'!A5</f>
        <v>Tier 1 -- Territory 8 (Galveston County)</v>
      </c>
      <c r="F37" t="str">
        <f>+'6.4'!I1</f>
        <v>Exhibit 6</v>
      </c>
      <c r="G37" s="216" t="str">
        <f>+'6.4'!I2</f>
        <v>Sheet 4</v>
      </c>
    </row>
    <row r="38" spans="1:7" x14ac:dyDescent="0.2">
      <c r="A38" s="223">
        <v>6.5</v>
      </c>
      <c r="B38" t="str">
        <f>'6.5'!A4</f>
        <v>Industry Experience -- Residential Extended Coverage</v>
      </c>
      <c r="D38" t="str">
        <f>+'6.5'!A5</f>
        <v>Tier 1 -- Territory 9 (Nueces County)</v>
      </c>
      <c r="F38" t="str">
        <f>+'6.5'!I1</f>
        <v>Exhibit 6</v>
      </c>
      <c r="G38" s="216" t="str">
        <f>+'6.5'!I2</f>
        <v>Sheet 5</v>
      </c>
    </row>
    <row r="39" spans="1:7" x14ac:dyDescent="0.2">
      <c r="A39" s="223">
        <v>6.6</v>
      </c>
      <c r="B39" t="str">
        <f>'6.6'!A4</f>
        <v>Industry Experience -- Residential Extended Coverage</v>
      </c>
      <c r="D39" t="str">
        <f>+'6.6'!A5</f>
        <v>Tier 1 -- Territory 10 (Other Tier 1)</v>
      </c>
      <c r="F39" t="str">
        <f>+'6.6'!I1</f>
        <v>Exhibit 6</v>
      </c>
      <c r="G39" s="216" t="str">
        <f>+'6.6'!I2</f>
        <v>Sheet 6</v>
      </c>
    </row>
    <row r="40" spans="1:7" x14ac:dyDescent="0.2">
      <c r="A40" s="223">
        <v>6.7</v>
      </c>
      <c r="B40" t="str">
        <f>'6.7'!A4</f>
        <v>Industry Experience -- Residential Extended Coverage</v>
      </c>
      <c r="D40" t="str">
        <f>+'6.7'!A5</f>
        <v>Tier 2 -- (Territories 1 and 11)</v>
      </c>
      <c r="F40" t="str">
        <f>+'6.7'!I1</f>
        <v>Exhibit 6</v>
      </c>
      <c r="G40" s="216" t="str">
        <f>+'6.7'!I2</f>
        <v>Sheet 7</v>
      </c>
    </row>
    <row r="41" spans="1:7" x14ac:dyDescent="0.2">
      <c r="A41" s="223">
        <v>7.1</v>
      </c>
      <c r="B41" t="str">
        <f>'7.1'!A4</f>
        <v>Hurricane Loss Ratio -- Verisk (AIR) Model</v>
      </c>
      <c r="D41" t="str">
        <f>'7.1'!A5</f>
        <v>Model Version: Verisk Touchstone 10.0 Tropical Cyclone (TC) and Severe Thunderstorm (ST)</v>
      </c>
      <c r="F41" t="str">
        <f>+'7.1'!K1</f>
        <v>Exhibit 7</v>
      </c>
      <c r="G41" s="216" t="str">
        <f>+'7.1'!K2</f>
        <v>Sheet 1</v>
      </c>
    </row>
    <row r="42" spans="1:7" x14ac:dyDescent="0.2">
      <c r="A42" s="223">
        <v>7.2</v>
      </c>
      <c r="B42" t="str">
        <f>'7.2'!A4</f>
        <v>Hurricane Loss Ratio -- RMS Model</v>
      </c>
      <c r="D42" t="str">
        <f>'7.2'!A5</f>
        <v>Model Version: RMS RiskLink 23.0 Windstorm/Hurricane and Convective Storm (WS/CS)</v>
      </c>
      <c r="F42" t="str">
        <f>+'7.2'!K1</f>
        <v>Exhibit 7</v>
      </c>
      <c r="G42" s="216" t="str">
        <f>+'7.2'!K2</f>
        <v>Sheet 2</v>
      </c>
    </row>
    <row r="43" spans="1:7" x14ac:dyDescent="0.2">
      <c r="A43" s="223">
        <v>7.3</v>
      </c>
      <c r="B43" t="str">
        <f>'7.3'!A4</f>
        <v>Hurricane Loss Ratio -- Impact Forecasting Model</v>
      </c>
      <c r="D43" t="str">
        <f>'7.3'!A5</f>
        <v>Model Version: Impact Forecasting ELEMENTS 18.0 Atlantic Tropical Cyclone and Severe Convective Storm</v>
      </c>
      <c r="F43" t="str">
        <f>+'7.3'!K1</f>
        <v>Exhibit 7</v>
      </c>
      <c r="G43" s="216" t="str">
        <f>'7.3'!K2</f>
        <v>Sheet 3</v>
      </c>
    </row>
    <row r="44" spans="1:7" x14ac:dyDescent="0.2">
      <c r="A44" s="223">
        <v>7.4</v>
      </c>
      <c r="B44" t="str">
        <f>'7.4'!A4</f>
        <v>Hurricane Loss Ratio -- CoreLogic RQE Model</v>
      </c>
      <c r="D44" t="str">
        <f>'7.4'!A5</f>
        <v>Model Version: CoreLogic Risk Quantification &amp; Engineering (RQE) v23 North Atlantic Hurricane (HU) and Severe Convective Storm (SCS)</v>
      </c>
      <c r="F44" t="str">
        <f>+'7.4'!K1</f>
        <v>Exhibit 7</v>
      </c>
      <c r="G44" s="216" t="str">
        <f>'7.4'!K2</f>
        <v>Sheet 4</v>
      </c>
    </row>
    <row r="45" spans="1:7" x14ac:dyDescent="0.2">
      <c r="A45" s="223">
        <v>8</v>
      </c>
      <c r="B45" t="str">
        <f>'8'!A4</f>
        <v>Texas Hurricanes 1850 - 2023</v>
      </c>
      <c r="F45" t="str">
        <f>+'8'!J1</f>
        <v>Exhibit 8</v>
      </c>
      <c r="G45" s="224"/>
    </row>
    <row r="46" spans="1:7" x14ac:dyDescent="0.2">
      <c r="A46" s="223" t="s">
        <v>445</v>
      </c>
      <c r="B46" t="str">
        <f>'9.1a'!A4</f>
        <v>Calculation of TWIA Earned Premium at Present Rate Level</v>
      </c>
      <c r="D46" t="str">
        <f>+'9.1a'!A5</f>
        <v>Tier 1 -- Territory 8 (Galveston County)</v>
      </c>
      <c r="F46" t="str">
        <f>+'9.1a'!J1</f>
        <v>Exhibit 9</v>
      </c>
      <c r="G46" s="216" t="str">
        <f>+'9.1a'!J2</f>
        <v>Sheet 1a</v>
      </c>
    </row>
    <row r="47" spans="1:7" x14ac:dyDescent="0.2">
      <c r="A47" s="223" t="s">
        <v>446</v>
      </c>
      <c r="B47" t="str">
        <f>'9.1b'!A4</f>
        <v>Calculation of TWIA Earned Premium at Present Rate Level</v>
      </c>
      <c r="D47" t="str">
        <f>+'9.1b'!A5</f>
        <v>Tier 1 -- Territory 9 (Nueces County)</v>
      </c>
      <c r="F47" t="str">
        <f>+'9.1b'!J1</f>
        <v>Exhibit 9</v>
      </c>
      <c r="G47" s="216" t="str">
        <f>+'9.1b'!J2</f>
        <v>Sheet 1b</v>
      </c>
    </row>
    <row r="48" spans="1:7" x14ac:dyDescent="0.2">
      <c r="A48" s="223" t="s">
        <v>447</v>
      </c>
      <c r="B48" t="str">
        <f>'9.1c'!A4</f>
        <v>Calculation of TWIA Earned Premium at Present Rate Level</v>
      </c>
      <c r="D48" t="str">
        <f>+'9.1c'!A5</f>
        <v>Tier 1 -- Territory 10 (Other Tier 1)</v>
      </c>
      <c r="F48" t="str">
        <f>+'9.1c'!J1</f>
        <v>Exhibit 9</v>
      </c>
      <c r="G48" s="216" t="str">
        <f>+'9.1c'!J2</f>
        <v>Sheet 1c</v>
      </c>
    </row>
    <row r="49" spans="1:7" x14ac:dyDescent="0.2">
      <c r="A49" s="223" t="s">
        <v>448</v>
      </c>
      <c r="B49" t="str">
        <f>'9.1d'!A4</f>
        <v>Calculation of TWIA Earned Premium at Present Rate Level</v>
      </c>
      <c r="D49" t="str">
        <f>+'9.1d'!A5</f>
        <v>Tier 2 -- (Territories 1 and 11)</v>
      </c>
      <c r="F49" t="str">
        <f>+'9.1d'!J1</f>
        <v>Exhibit 9</v>
      </c>
      <c r="G49" s="216" t="str">
        <f>+'9.1d'!J2</f>
        <v>Sheet 1d</v>
      </c>
    </row>
    <row r="50" spans="1:7" x14ac:dyDescent="0.2">
      <c r="A50" s="223">
        <v>10.1</v>
      </c>
      <c r="B50" t="str">
        <f>'10.1'!A4</f>
        <v>Expenses and Variable Permissible Loss &amp; LAE Ratios</v>
      </c>
      <c r="F50" t="str">
        <f>'10.1'!K1</f>
        <v>Exhibit 10</v>
      </c>
      <c r="G50" s="216" t="str">
        <f>'10.1'!K2</f>
        <v>Sheet 1</v>
      </c>
    </row>
    <row r="51" spans="1:7" x14ac:dyDescent="0.2">
      <c r="A51" s="223">
        <v>10.199999999999999</v>
      </c>
      <c r="B51" t="str">
        <f>'10.2'!A4</f>
        <v>Development of Reinsurer Expense</v>
      </c>
      <c r="D51" t="str">
        <f>'10.2'!A5</f>
        <v>Using Average of Verisk and RMS Hurricane Models</v>
      </c>
      <c r="F51" t="str">
        <f>'10.2'!H1</f>
        <v>Exhibit 10</v>
      </c>
      <c r="G51" s="216" t="str">
        <f>'10.2'!H2</f>
        <v>Sheet 2</v>
      </c>
    </row>
    <row r="52" spans="1:7" ht="12" thickBot="1" x14ac:dyDescent="0.25">
      <c r="A52" s="227">
        <v>11</v>
      </c>
      <c r="B52" s="228" t="str">
        <f>'11'!A4</f>
        <v>Reconciliation of Premium Data to Annual Statement</v>
      </c>
      <c r="C52" s="228"/>
      <c r="D52" s="228"/>
      <c r="E52" s="228"/>
      <c r="F52" s="228" t="str">
        <f>'11'!J1</f>
        <v>Exhibit 11</v>
      </c>
      <c r="G52" s="229"/>
    </row>
  </sheetData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FF00"/>
  </sheetPr>
  <dimension ref="A1:O72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6" width="9.6640625" customWidth="1"/>
    <col min="7" max="7" width="11.1640625" customWidth="1"/>
    <col min="8" max="8" width="9.6640625" customWidth="1"/>
    <col min="9" max="10" width="11.33203125" customWidth="1"/>
    <col min="11" max="11" width="3.6640625" customWidth="1"/>
    <col min="12" max="12" width="11.33203125" customWidth="1"/>
    <col min="13" max="13" width="2.33203125" customWidth="1"/>
    <col min="15" max="15" width="20.1640625" bestFit="1" customWidth="1"/>
  </cols>
  <sheetData>
    <row r="1" spans="1:15" x14ac:dyDescent="0.2">
      <c r="A1" s="8" t="s">
        <v>0</v>
      </c>
      <c r="K1" s="7" t="s">
        <v>5</v>
      </c>
      <c r="L1" s="1"/>
    </row>
    <row r="2" spans="1:15" x14ac:dyDescent="0.2">
      <c r="A2" s="8" t="s">
        <v>1</v>
      </c>
      <c r="H2" s="7"/>
      <c r="I2" s="7"/>
      <c r="J2" s="7"/>
      <c r="K2" s="7"/>
      <c r="L2" s="2"/>
      <c r="O2" s="20">
        <f ca="1">C15/(C15+D15)</f>
        <v>0.75635407537248023</v>
      </c>
    </row>
    <row r="3" spans="1:15" x14ac:dyDescent="0.2">
      <c r="A3" s="8" t="s">
        <v>2</v>
      </c>
      <c r="L3" s="2"/>
    </row>
    <row r="4" spans="1:15" x14ac:dyDescent="0.2">
      <c r="A4" t="s">
        <v>3</v>
      </c>
      <c r="L4" s="2"/>
    </row>
    <row r="5" spans="1:15" x14ac:dyDescent="0.2">
      <c r="A5" t="s">
        <v>4</v>
      </c>
      <c r="L5" s="2"/>
    </row>
    <row r="6" spans="1:15" x14ac:dyDescent="0.2">
      <c r="L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L7" s="2"/>
      <c r="M7" s="178"/>
      <c r="N7" s="6"/>
    </row>
    <row r="8" spans="1:15" ht="12" thickTop="1" x14ac:dyDescent="0.2">
      <c r="H8" s="11">
        <v>2024</v>
      </c>
      <c r="L8" s="2"/>
      <c r="N8" s="11">
        <f>H8-1</f>
        <v>2023</v>
      </c>
    </row>
    <row r="9" spans="1:15" x14ac:dyDescent="0.2">
      <c r="C9" s="10" t="s">
        <v>7</v>
      </c>
      <c r="H9" s="11" t="s">
        <v>13</v>
      </c>
      <c r="L9" s="2"/>
      <c r="N9" s="11" t="str">
        <f>H9</f>
        <v>Indicated</v>
      </c>
    </row>
    <row r="10" spans="1:15" x14ac:dyDescent="0.2">
      <c r="C10" s="11"/>
      <c r="D10" s="11"/>
      <c r="E10" s="11" t="s">
        <v>204</v>
      </c>
      <c r="F10" s="11"/>
      <c r="G10" s="11" t="s">
        <v>10</v>
      </c>
      <c r="H10" s="11" t="s">
        <v>14</v>
      </c>
      <c r="L10" s="2"/>
      <c r="N10" s="11" t="str">
        <f t="shared" ref="N10:N11" si="0">H10</f>
        <v>Rate</v>
      </c>
    </row>
    <row r="11" spans="1:15" x14ac:dyDescent="0.2">
      <c r="A11" s="9" t="s">
        <v>16</v>
      </c>
      <c r="B11" s="9"/>
      <c r="C11" s="125" t="s">
        <v>6</v>
      </c>
      <c r="D11" s="125" t="s">
        <v>8</v>
      </c>
      <c r="E11" s="125" t="s">
        <v>205</v>
      </c>
      <c r="F11" s="125" t="s">
        <v>9</v>
      </c>
      <c r="G11" s="125" t="s">
        <v>206</v>
      </c>
      <c r="H11" s="125" t="s">
        <v>15</v>
      </c>
      <c r="L11" s="2"/>
      <c r="M11" s="177"/>
      <c r="N11" s="125" t="str">
        <f t="shared" si="0"/>
        <v>Change</v>
      </c>
    </row>
    <row r="12" spans="1:15" x14ac:dyDescent="0.2">
      <c r="A12" s="13" t="str">
        <f>TEXT(COLUMN(),"(#)")</f>
        <v>(1)</v>
      </c>
      <c r="B12" s="13"/>
      <c r="C12" s="11" t="str">
        <f t="shared" ref="C12:H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/>
      <c r="J12" s="11"/>
      <c r="K12" s="11"/>
      <c r="L12" s="2"/>
    </row>
    <row r="13" spans="1:15" x14ac:dyDescent="0.2">
      <c r="L13" s="2"/>
    </row>
    <row r="14" spans="1:15" x14ac:dyDescent="0.2">
      <c r="L14" s="2"/>
    </row>
    <row r="15" spans="1:15" x14ac:dyDescent="0.2">
      <c r="B15" t="s">
        <v>275</v>
      </c>
      <c r="C15" s="20">
        <f ca="1">AVERAGE(AVERAGE(C26),C19)</f>
        <v>0.43149999999999999</v>
      </c>
      <c r="D15" s="22">
        <f>D$19</f>
        <v>0.13900000000000001</v>
      </c>
      <c r="E15" s="22">
        <f>E$19</f>
        <v>0.49204803413057402</v>
      </c>
      <c r="F15" s="18">
        <f ca="1">C15+D15+E15</f>
        <v>1.062548034130574</v>
      </c>
      <c r="G15" s="22">
        <f>G$19</f>
        <v>0.77200000000000002</v>
      </c>
      <c r="H15" s="230">
        <f ca="1">ROUND(F15/G15-1,2)</f>
        <v>0.38</v>
      </c>
      <c r="I15" s="182"/>
      <c r="L15" s="2"/>
      <c r="N15" s="204">
        <f>'[1]1'!H15</f>
        <v>0.2</v>
      </c>
    </row>
    <row r="16" spans="1:15" x14ac:dyDescent="0.2">
      <c r="A16" s="9"/>
      <c r="B16" s="9"/>
      <c r="C16" s="56"/>
      <c r="D16" s="56"/>
      <c r="E16" s="56"/>
      <c r="F16" s="93"/>
      <c r="G16" s="56"/>
      <c r="H16" s="231"/>
      <c r="I16" s="39"/>
      <c r="J16" s="16"/>
      <c r="K16" s="16"/>
      <c r="L16" s="2"/>
      <c r="M16" s="177"/>
      <c r="N16" s="179"/>
    </row>
    <row r="17" spans="1:14" x14ac:dyDescent="0.2">
      <c r="C17" s="12"/>
      <c r="D17" s="12"/>
      <c r="H17" s="232"/>
      <c r="L17" s="2"/>
      <c r="N17" s="176"/>
    </row>
    <row r="18" spans="1:14" x14ac:dyDescent="0.2">
      <c r="C18" s="18"/>
      <c r="D18" s="22"/>
      <c r="E18" s="14"/>
      <c r="F18" s="14"/>
      <c r="G18" s="14"/>
      <c r="H18" s="233"/>
      <c r="I18" s="183"/>
      <c r="J18" s="15"/>
      <c r="K18" s="15"/>
      <c r="L18" s="2"/>
      <c r="N18" s="176"/>
    </row>
    <row r="19" spans="1:14" x14ac:dyDescent="0.2">
      <c r="B19" t="s">
        <v>255</v>
      </c>
      <c r="C19" s="22">
        <f ca="1">'5'!$E$14</f>
        <v>0.38200000000000001</v>
      </c>
      <c r="D19" s="22">
        <f>'2.1'!$E$19</f>
        <v>0.13900000000000001</v>
      </c>
      <c r="E19" s="22">
        <f>'10.1'!$H$42</f>
        <v>0.49204803413057402</v>
      </c>
      <c r="F19" s="18">
        <f ca="1">C19+D19+E19</f>
        <v>1.0130480341305741</v>
      </c>
      <c r="G19" s="22">
        <f>'10.1'!$H$48</f>
        <v>0.77200000000000002</v>
      </c>
      <c r="H19" s="230">
        <f ca="1">ROUND(F19/G19-1,2)</f>
        <v>0.31</v>
      </c>
      <c r="I19" s="39"/>
      <c r="J19" s="16"/>
      <c r="K19" s="16"/>
      <c r="L19" s="2"/>
      <c r="N19" s="204">
        <f>'[1]1'!H19</f>
        <v>0.11</v>
      </c>
    </row>
    <row r="20" spans="1:14" x14ac:dyDescent="0.2">
      <c r="C20" s="22"/>
      <c r="D20" s="22"/>
      <c r="E20" s="22"/>
      <c r="F20" s="18"/>
      <c r="G20" s="22"/>
      <c r="H20" s="230"/>
      <c r="I20" s="39"/>
      <c r="J20" s="16"/>
      <c r="K20" s="16"/>
      <c r="L20" s="2"/>
      <c r="N20" s="204"/>
    </row>
    <row r="21" spans="1:14" x14ac:dyDescent="0.2">
      <c r="B21" t="s">
        <v>420</v>
      </c>
      <c r="C21" s="22">
        <f>'5'!E17</f>
        <v>0.55400000000000005</v>
      </c>
      <c r="D21" s="22">
        <f>D$19</f>
        <v>0.13900000000000001</v>
      </c>
      <c r="E21" s="22">
        <f t="shared" ref="E21:G24" si="2">E$19</f>
        <v>0.49204803413057402</v>
      </c>
      <c r="F21" s="18">
        <f t="shared" ref="F21:F24" si="3">C21+D21+E21</f>
        <v>1.185048034130574</v>
      </c>
      <c r="G21" s="22">
        <f t="shared" si="2"/>
        <v>0.77200000000000002</v>
      </c>
      <c r="H21" s="230">
        <f>ROUND(F21/G21-1,2)</f>
        <v>0.54</v>
      </c>
      <c r="I21" s="39"/>
      <c r="J21" s="16"/>
      <c r="K21" s="16"/>
      <c r="L21" s="2"/>
      <c r="N21" s="204">
        <f>'[1]1'!H21</f>
        <v>0.38</v>
      </c>
    </row>
    <row r="22" spans="1:14" x14ac:dyDescent="0.2">
      <c r="B22" t="s">
        <v>412</v>
      </c>
      <c r="C22" s="22">
        <f>'5'!E18</f>
        <v>0.49</v>
      </c>
      <c r="D22" s="22">
        <f t="shared" ref="D22:D24" si="4">D$19</f>
        <v>0.13900000000000001</v>
      </c>
      <c r="E22" s="22">
        <f t="shared" si="2"/>
        <v>0.49204803413057402</v>
      </c>
      <c r="F22" s="18">
        <f t="shared" si="3"/>
        <v>1.121048034130574</v>
      </c>
      <c r="G22" s="22">
        <f t="shared" si="2"/>
        <v>0.77200000000000002</v>
      </c>
      <c r="H22" s="230">
        <f>ROUND(F22/G22-1,2)</f>
        <v>0.45</v>
      </c>
      <c r="I22" s="39"/>
      <c r="J22" s="16"/>
      <c r="K22" s="16"/>
      <c r="L22" s="2"/>
      <c r="N22" s="204">
        <f>'[1]1'!H22</f>
        <v>0.27</v>
      </c>
    </row>
    <row r="23" spans="1:14" x14ac:dyDescent="0.2">
      <c r="B23" t="s">
        <v>414</v>
      </c>
      <c r="C23" s="22">
        <f>'5'!E19</f>
        <v>0.45300000000000001</v>
      </c>
      <c r="D23" s="22">
        <f t="shared" si="4"/>
        <v>0.13900000000000001</v>
      </c>
      <c r="E23" s="22">
        <f t="shared" si="2"/>
        <v>0.49204803413057402</v>
      </c>
      <c r="F23" s="18">
        <f t="shared" si="3"/>
        <v>1.084048034130574</v>
      </c>
      <c r="G23" s="22">
        <f t="shared" si="2"/>
        <v>0.77200000000000002</v>
      </c>
      <c r="H23" s="230">
        <f>ROUND(F23/G23-1,2)</f>
        <v>0.4</v>
      </c>
      <c r="I23" s="39"/>
      <c r="J23" s="16"/>
      <c r="K23" s="16"/>
      <c r="L23" s="2"/>
      <c r="N23" s="204">
        <f>'[1]1'!H23</f>
        <v>0.36</v>
      </c>
    </row>
    <row r="24" spans="1:14" x14ac:dyDescent="0.2">
      <c r="B24" t="s">
        <v>453</v>
      </c>
      <c r="C24" s="22">
        <f>'5'!E20</f>
        <v>0.42599999999999999</v>
      </c>
      <c r="D24" s="22">
        <f t="shared" si="4"/>
        <v>0.13900000000000001</v>
      </c>
      <c r="E24" s="22">
        <f t="shared" si="2"/>
        <v>0.49204803413057402</v>
      </c>
      <c r="F24" s="18">
        <f t="shared" si="3"/>
        <v>1.0570480341305739</v>
      </c>
      <c r="G24" s="22">
        <f t="shared" si="2"/>
        <v>0.77200000000000002</v>
      </c>
      <c r="H24" s="230">
        <f>ROUND(F24/G24-1,2)</f>
        <v>0.37</v>
      </c>
      <c r="I24" s="39"/>
      <c r="J24" s="16"/>
      <c r="K24" s="16"/>
      <c r="L24" s="2"/>
      <c r="N24" s="204">
        <f>'[1]1'!H24</f>
        <v>0.15</v>
      </c>
    </row>
    <row r="25" spans="1:14" x14ac:dyDescent="0.2">
      <c r="C25" s="20"/>
      <c r="D25" s="20"/>
      <c r="E25" s="20"/>
      <c r="F25" s="18"/>
      <c r="G25" s="20"/>
      <c r="H25" s="230"/>
      <c r="L25" s="2"/>
      <c r="N25" s="112"/>
    </row>
    <row r="26" spans="1:14" ht="12" thickBot="1" x14ac:dyDescent="0.25">
      <c r="A26" s="6"/>
      <c r="B26" s="6" t="s">
        <v>388</v>
      </c>
      <c r="C26" s="145">
        <f>'5'!E22</f>
        <v>0.48099999999999998</v>
      </c>
      <c r="D26" s="145">
        <f>D19</f>
        <v>0.13900000000000001</v>
      </c>
      <c r="E26" s="145">
        <f>E19</f>
        <v>0.49204803413057402</v>
      </c>
      <c r="F26" s="145">
        <f>SUM(C26+D26+E26)</f>
        <v>1.1120480341305741</v>
      </c>
      <c r="G26" s="145">
        <f>G15</f>
        <v>0.77200000000000002</v>
      </c>
      <c r="H26" s="234">
        <f>F26/G26-1</f>
        <v>0.44047672814841188</v>
      </c>
      <c r="L26" s="2"/>
      <c r="M26" s="178"/>
      <c r="N26" s="205">
        <f>'[1]1'!H26</f>
        <v>0.28912973359344818</v>
      </c>
    </row>
    <row r="27" spans="1:14" ht="12" thickTop="1" x14ac:dyDescent="0.2">
      <c r="C27" s="20"/>
      <c r="E27" s="20"/>
      <c r="L27" s="2"/>
    </row>
    <row r="28" spans="1:14" x14ac:dyDescent="0.2">
      <c r="A28" t="s">
        <v>17</v>
      </c>
      <c r="L28" s="2"/>
      <c r="M28" s="22"/>
    </row>
    <row r="29" spans="1:14" x14ac:dyDescent="0.2">
      <c r="B29" s="12" t="str">
        <f>C12&amp;" "&amp;'5'!$H$1</f>
        <v>(2) Exhibit 5</v>
      </c>
      <c r="L29" s="2"/>
      <c r="M29" s="12"/>
    </row>
    <row r="30" spans="1:14" x14ac:dyDescent="0.2">
      <c r="B30" s="12" t="str">
        <f>D12&amp;" "&amp;'2.1'!$J$1&amp;", "&amp;'2.1'!$J$2</f>
        <v>(3) Exhibit 2, Sheet 1</v>
      </c>
      <c r="L30" s="2"/>
    </row>
    <row r="31" spans="1:14" x14ac:dyDescent="0.2">
      <c r="B31" s="12" t="str">
        <f>E12&amp;" "&amp;'10.1'!K1&amp; ", "&amp; '10.1'!K2</f>
        <v>(4) Exhibit 10, Sheet 1</v>
      </c>
      <c r="L31" s="2"/>
      <c r="M31" s="12"/>
    </row>
    <row r="32" spans="1:14" x14ac:dyDescent="0.2">
      <c r="B32" t="str">
        <f>F12&amp;" = "&amp;C12&amp;" + "&amp;D12&amp;" + "&amp;E12</f>
        <v>(5) = (2) + (3) + (4)</v>
      </c>
      <c r="L32" s="2"/>
    </row>
    <row r="33" spans="2:13" x14ac:dyDescent="0.2">
      <c r="B33" s="12" t="str">
        <f>G12&amp;" "&amp;'10.1'!$K$1 &amp; ", "&amp; '10.1'!$K$2</f>
        <v>(6) Exhibit 10, Sheet 1</v>
      </c>
      <c r="L33" s="2"/>
    </row>
    <row r="34" spans="2:13" x14ac:dyDescent="0.2">
      <c r="B34" t="str">
        <f>H12&amp;" = "&amp;F12&amp;" / "&amp;G12&amp;" - 1"</f>
        <v>(7) = (5) / (6) - 1</v>
      </c>
      <c r="L34" s="2"/>
    </row>
    <row r="35" spans="2:13" x14ac:dyDescent="0.2">
      <c r="B35" s="12"/>
      <c r="L35" s="2"/>
    </row>
    <row r="36" spans="2:13" x14ac:dyDescent="0.2">
      <c r="L36" s="2"/>
    </row>
    <row r="37" spans="2:13" x14ac:dyDescent="0.2">
      <c r="L37" s="2"/>
    </row>
    <row r="38" spans="2:13" x14ac:dyDescent="0.2">
      <c r="B38" s="22"/>
      <c r="C38" s="22"/>
      <c r="D38" s="22"/>
      <c r="E38" s="18"/>
      <c r="F38" s="22"/>
      <c r="G38" s="16"/>
      <c r="H38" s="16"/>
      <c r="I38" s="16"/>
      <c r="K38" s="16"/>
      <c r="L38" s="2"/>
      <c r="M38" s="81"/>
    </row>
    <row r="39" spans="2:13" x14ac:dyDescent="0.2">
      <c r="B39" s="12"/>
      <c r="C39" s="12"/>
      <c r="L39" s="2"/>
      <c r="M39" s="17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hidden="1" thickBot="1" x14ac:dyDescent="0.25">
      <c r="L69" s="2"/>
    </row>
    <row r="70" spans="1:12" ht="12" hidden="1" thickBot="1" x14ac:dyDescent="0.25">
      <c r="L70" s="2"/>
    </row>
    <row r="71" spans="1:12" ht="12" hidden="1" thickBot="1" x14ac:dyDescent="0.25">
      <c r="L71" s="2"/>
    </row>
    <row r="72" spans="1:12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L69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19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  <c r="L8" t="s">
        <v>200</v>
      </c>
    </row>
    <row r="9" spans="1:12" x14ac:dyDescent="0.2">
      <c r="C9" s="10" t="str">
        <f>YEAR($L$9)&amp;" Written Premium"</f>
        <v>2023 Written Premium</v>
      </c>
      <c r="E9" s="11" t="s">
        <v>13</v>
      </c>
      <c r="K9" s="2"/>
      <c r="L9" s="139">
        <v>45291</v>
      </c>
    </row>
    <row r="10" spans="1:12" x14ac:dyDescent="0.2">
      <c r="E10" s="11" t="s">
        <v>8</v>
      </c>
      <c r="K10" s="2"/>
    </row>
    <row r="11" spans="1:12" x14ac:dyDescent="0.2">
      <c r="A11" s="9" t="s">
        <v>22</v>
      </c>
      <c r="B11" s="9"/>
      <c r="C11" s="9" t="s">
        <v>27</v>
      </c>
      <c r="D11" s="9" t="s">
        <v>28</v>
      </c>
      <c r="E11" s="125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23</v>
      </c>
      <c r="C14" s="157">
        <f>'[2]TWIA 5'!$Y$23</f>
        <v>183156184</v>
      </c>
      <c r="D14" s="20">
        <f>C14/C$19</f>
        <v>0.35024868758177941</v>
      </c>
      <c r="E14" s="20">
        <f>'2.2a'!$H$26</f>
        <v>0.11899999999999999</v>
      </c>
      <c r="G14" s="20"/>
      <c r="H14" s="20"/>
      <c r="K14" s="2"/>
    </row>
    <row r="15" spans="1:12" x14ac:dyDescent="0.2">
      <c r="A15" t="s">
        <v>26</v>
      </c>
      <c r="C15" s="157">
        <f>'[2]TWIA 5'!$Y$24</f>
        <v>86684858</v>
      </c>
      <c r="D15" s="20">
        <f>C15/C$19</f>
        <v>0.16576703600525391</v>
      </c>
      <c r="E15" s="20">
        <f>'2.2b'!$H$26</f>
        <v>6.9000000000000006E-2</v>
      </c>
      <c r="G15" s="20"/>
      <c r="H15" s="20"/>
      <c r="K15" s="2"/>
    </row>
    <row r="16" spans="1:12" x14ac:dyDescent="0.2">
      <c r="A16" t="s">
        <v>25</v>
      </c>
      <c r="C16" s="157">
        <f>'[2]TWIA 5'!$Y$25</f>
        <v>246412664</v>
      </c>
      <c r="D16" s="20">
        <f>C16/C$19</f>
        <v>0.47121374929677495</v>
      </c>
      <c r="E16" s="20">
        <f>'2.2c'!$H$26</f>
        <v>0.17399999999999999</v>
      </c>
      <c r="G16" s="20"/>
      <c r="H16" s="20"/>
      <c r="K16" s="2"/>
    </row>
    <row r="17" spans="1:11" x14ac:dyDescent="0.2">
      <c r="A17" s="9" t="s">
        <v>24</v>
      </c>
      <c r="B17" s="9"/>
      <c r="C17" s="168">
        <f>'[2]TWIA 5'!$Y$26</f>
        <v>6678115</v>
      </c>
      <c r="D17" s="21">
        <f>C17/C$19</f>
        <v>1.2770527116191692E-2</v>
      </c>
      <c r="E17" s="21">
        <f>'2.2d'!$H$26</f>
        <v>0.33700000000000002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30</v>
      </c>
      <c r="C19" s="19">
        <f>SUM(C14:C17)</f>
        <v>522931821</v>
      </c>
      <c r="D19" s="20">
        <f>SUM(D14:D17)</f>
        <v>0.99999999999999989</v>
      </c>
      <c r="E19" s="20">
        <f>ROUND(SUMPRODUCT(D14:D17,E14:E17)/D19,3)</f>
        <v>0.13900000000000001</v>
      </c>
      <c r="K19" s="2"/>
    </row>
    <row r="20" spans="1:11" ht="12" thickBot="1" x14ac:dyDescent="0.25">
      <c r="A20" s="6"/>
      <c r="B20" s="6"/>
      <c r="C20" s="6"/>
      <c r="D20" s="6"/>
      <c r="E20" s="6"/>
      <c r="K20" s="2"/>
    </row>
    <row r="21" spans="1:11" ht="12" thickTop="1" x14ac:dyDescent="0.2">
      <c r="K21" s="2"/>
    </row>
    <row r="22" spans="1:11" x14ac:dyDescent="0.2">
      <c r="A22" t="s">
        <v>17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1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FF00"/>
  </sheetPr>
  <dimension ref="A1:L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32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198</v>
      </c>
    </row>
    <row r="8" spans="1:12" ht="12" thickTop="1" x14ac:dyDescent="0.2">
      <c r="A8" t="s">
        <v>52</v>
      </c>
      <c r="K8" s="2"/>
      <c r="L8" s="37">
        <f>'2.4a'!L$22</f>
        <v>45199</v>
      </c>
    </row>
    <row r="9" spans="1:12" x14ac:dyDescent="0.2">
      <c r="A9" t="s">
        <v>53</v>
      </c>
      <c r="C9" s="194" t="s">
        <v>34</v>
      </c>
      <c r="D9" s="11"/>
      <c r="E9" s="11" t="s">
        <v>37</v>
      </c>
      <c r="F9" s="11" t="s">
        <v>39</v>
      </c>
      <c r="G9" s="11" t="s">
        <v>43</v>
      </c>
      <c r="H9" s="11" t="s">
        <v>13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35</v>
      </c>
      <c r="E10" s="11" t="s">
        <v>38</v>
      </c>
      <c r="F10" s="11" t="s">
        <v>8</v>
      </c>
      <c r="G10" s="11" t="s">
        <v>41</v>
      </c>
      <c r="H10" s="11" t="s">
        <v>8</v>
      </c>
      <c r="K10" s="2"/>
    </row>
    <row r="11" spans="1:12" x14ac:dyDescent="0.2">
      <c r="A11" s="9" t="str">
        <f>TEXT($L$8,"m/d")</f>
        <v>9/30</v>
      </c>
      <c r="B11" s="9"/>
      <c r="C11" s="125" t="s">
        <v>40</v>
      </c>
      <c r="D11" s="125" t="s">
        <v>36</v>
      </c>
      <c r="E11" s="125" t="s">
        <v>36</v>
      </c>
      <c r="F11" s="125" t="s">
        <v>11</v>
      </c>
      <c r="G11" s="125" t="s">
        <v>42</v>
      </c>
      <c r="H11" s="125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2014</v>
      </c>
      <c r="B14" s="23"/>
      <c r="C14" s="19">
        <f>'2.3b'!E14</f>
        <v>520624</v>
      </c>
      <c r="D14" s="29">
        <f>'4'!$E$64</f>
        <v>0.28999999999999998</v>
      </c>
      <c r="E14" s="28">
        <f>'2.5'!$G31</f>
        <v>1.145</v>
      </c>
      <c r="F14" s="19">
        <f>ROUND(C14*(1+D14)*E14,0)</f>
        <v>768988</v>
      </c>
      <c r="G14" s="19">
        <f>'9.1a'!E14</f>
        <v>141396555</v>
      </c>
      <c r="H14" s="20">
        <f>ROUND(F14/G14,3)</f>
        <v>5.0000000000000001E-3</v>
      </c>
      <c r="I14" s="20"/>
      <c r="K14" s="2"/>
    </row>
    <row r="15" spans="1:12" x14ac:dyDescent="0.2">
      <c r="A15" t="str">
        <f t="shared" si="1"/>
        <v>2015</v>
      </c>
      <c r="B15" s="23"/>
      <c r="C15" s="19">
        <f>'2.3b'!E15</f>
        <v>17456712</v>
      </c>
      <c r="D15" s="29">
        <f t="shared" ref="D15:D23" si="2">D$14</f>
        <v>0.28999999999999998</v>
      </c>
      <c r="E15" s="28">
        <f>'2.5'!$G32</f>
        <v>1.131</v>
      </c>
      <c r="F15" s="19">
        <f t="shared" ref="F15:F22" si="3">ROUND(C15*(1+D15)*E15,0)</f>
        <v>25469168</v>
      </c>
      <c r="G15" s="19">
        <f>'9.1a'!E15</f>
        <v>143824430</v>
      </c>
      <c r="H15" s="20">
        <f t="shared" ref="H15:H20" si="4">ROUND(F15/G15,3)</f>
        <v>0.17699999999999999</v>
      </c>
      <c r="I15" s="20"/>
      <c r="K15" s="2"/>
    </row>
    <row r="16" spans="1:12" x14ac:dyDescent="0.2">
      <c r="A16" t="str">
        <f t="shared" si="1"/>
        <v>2016</v>
      </c>
      <c r="B16" s="23"/>
      <c r="C16" s="19">
        <f>'2.3b'!E16</f>
        <v>10988633</v>
      </c>
      <c r="D16" s="29">
        <f t="shared" si="2"/>
        <v>0.28999999999999998</v>
      </c>
      <c r="E16" s="28">
        <f>'2.5'!$G33</f>
        <v>1.135</v>
      </c>
      <c r="F16" s="19">
        <f t="shared" si="3"/>
        <v>16089007</v>
      </c>
      <c r="G16" s="19">
        <f>'9.1a'!E16</f>
        <v>140103503</v>
      </c>
      <c r="H16" s="20">
        <f t="shared" si="4"/>
        <v>0.115</v>
      </c>
      <c r="I16" s="20"/>
      <c r="K16" s="2"/>
    </row>
    <row r="17" spans="1:11" x14ac:dyDescent="0.2">
      <c r="A17" t="str">
        <f t="shared" si="1"/>
        <v>2017</v>
      </c>
      <c r="B17" s="23"/>
      <c r="C17" s="19">
        <f>'2.3b'!E17</f>
        <v>2721261</v>
      </c>
      <c r="D17" s="29">
        <f t="shared" si="2"/>
        <v>0.28999999999999998</v>
      </c>
      <c r="E17" s="28">
        <f>'2.5'!$G34</f>
        <v>1.097</v>
      </c>
      <c r="F17" s="19">
        <f t="shared" si="3"/>
        <v>3850938</v>
      </c>
      <c r="G17" s="19">
        <f>'9.1a'!E17</f>
        <v>133016924</v>
      </c>
      <c r="H17" s="20">
        <f t="shared" si="4"/>
        <v>2.9000000000000001E-2</v>
      </c>
      <c r="I17" s="20"/>
      <c r="K17" s="2"/>
    </row>
    <row r="18" spans="1:11" x14ac:dyDescent="0.2">
      <c r="A18" t="str">
        <f t="shared" si="1"/>
        <v>2018</v>
      </c>
      <c r="B18" s="23"/>
      <c r="C18" s="19">
        <f>'2.3b'!E18</f>
        <v>2556928</v>
      </c>
      <c r="D18" s="29">
        <f t="shared" si="2"/>
        <v>0.28999999999999998</v>
      </c>
      <c r="E18" s="28">
        <f>'2.5'!$G35</f>
        <v>1.083</v>
      </c>
      <c r="F18" s="19">
        <f t="shared" si="3"/>
        <v>3572207</v>
      </c>
      <c r="G18" s="19">
        <f>'9.1a'!E18</f>
        <v>121376251</v>
      </c>
      <c r="H18" s="20">
        <f t="shared" si="4"/>
        <v>2.9000000000000001E-2</v>
      </c>
      <c r="I18" s="20"/>
      <c r="K18" s="2"/>
    </row>
    <row r="19" spans="1:11" x14ac:dyDescent="0.2">
      <c r="A19" t="str">
        <f t="shared" si="1"/>
        <v>2019</v>
      </c>
      <c r="B19" s="23"/>
      <c r="C19" s="19">
        <f>'2.3b'!E19</f>
        <v>4884869</v>
      </c>
      <c r="D19" s="29">
        <f t="shared" si="2"/>
        <v>0.28999999999999998</v>
      </c>
      <c r="E19" s="28">
        <f>'2.5'!$G36</f>
        <v>1.0509999999999999</v>
      </c>
      <c r="F19" s="19">
        <f>ROUND(C19*(1+D19)*E19,0)</f>
        <v>6622857</v>
      </c>
      <c r="G19" s="19">
        <f>'9.1a'!E19</f>
        <v>114641201</v>
      </c>
      <c r="H19" s="20">
        <f t="shared" si="4"/>
        <v>5.8000000000000003E-2</v>
      </c>
      <c r="I19" s="20"/>
      <c r="K19" s="2"/>
    </row>
    <row r="20" spans="1:11" x14ac:dyDescent="0.2">
      <c r="A20" t="str">
        <f t="shared" si="1"/>
        <v>2020</v>
      </c>
      <c r="B20" s="23"/>
      <c r="C20" s="19">
        <f>'2.3b'!E20</f>
        <v>5651316</v>
      </c>
      <c r="D20" s="29">
        <f t="shared" si="2"/>
        <v>0.28999999999999998</v>
      </c>
      <c r="E20" s="28">
        <f>'2.5'!$G37</f>
        <v>1.0640000000000001</v>
      </c>
      <c r="F20" s="19">
        <f t="shared" si="3"/>
        <v>7756770</v>
      </c>
      <c r="G20" s="19">
        <f>'9.1a'!E20</f>
        <v>113445809</v>
      </c>
      <c r="H20" s="20">
        <f t="shared" si="4"/>
        <v>6.8000000000000005E-2</v>
      </c>
      <c r="I20" s="20"/>
      <c r="K20" s="2"/>
    </row>
    <row r="21" spans="1:11" x14ac:dyDescent="0.2">
      <c r="A21" t="str">
        <f t="shared" si="1"/>
        <v>2021</v>
      </c>
      <c r="B21" s="23"/>
      <c r="C21" s="19">
        <f>'2.3b'!E21</f>
        <v>25649071</v>
      </c>
      <c r="D21" s="29">
        <f t="shared" si="2"/>
        <v>0.28999999999999998</v>
      </c>
      <c r="E21" s="28">
        <f>'2.5'!$G38</f>
        <v>1.0069999999999999</v>
      </c>
      <c r="F21" s="19">
        <f t="shared" si="3"/>
        <v>33318913</v>
      </c>
      <c r="G21" s="19">
        <f>'9.1a'!E21</f>
        <v>117940724</v>
      </c>
      <c r="H21" s="20">
        <f>ROUND(F21/G21,3)</f>
        <v>0.28299999999999997</v>
      </c>
      <c r="I21" s="20"/>
      <c r="K21" s="2"/>
    </row>
    <row r="22" spans="1:11" x14ac:dyDescent="0.2">
      <c r="A22" t="str">
        <f t="shared" si="1"/>
        <v>2022</v>
      </c>
      <c r="B22" s="23"/>
      <c r="C22" s="19">
        <f>'2.3b'!E22</f>
        <v>12074652</v>
      </c>
      <c r="D22" s="29">
        <f t="shared" si="2"/>
        <v>0.28999999999999998</v>
      </c>
      <c r="E22" s="28">
        <f>'2.5'!$G39</f>
        <v>0.97</v>
      </c>
      <c r="F22" s="19">
        <f t="shared" si="3"/>
        <v>15109012</v>
      </c>
      <c r="G22" s="19">
        <f>'9.1a'!E22</f>
        <v>129461860</v>
      </c>
      <c r="H22" s="20">
        <f>ROUND(F22/G22,3)</f>
        <v>0.11700000000000001</v>
      </c>
      <c r="I22" s="20"/>
      <c r="K22" s="2"/>
    </row>
    <row r="23" spans="1:11" x14ac:dyDescent="0.2">
      <c r="A23" t="str">
        <f>TEXT(YEAR($L$8),"#")</f>
        <v>2023</v>
      </c>
      <c r="B23" s="23"/>
      <c r="C23" s="19">
        <f>'2.3b'!E23</f>
        <v>33728902</v>
      </c>
      <c r="D23" s="29">
        <f t="shared" si="2"/>
        <v>0.28999999999999998</v>
      </c>
      <c r="E23" s="28">
        <f>'2.5'!$G40</f>
        <v>1.024</v>
      </c>
      <c r="F23" s="19">
        <f>ROUND(C23*(1+D23)*E23,0)</f>
        <v>44554530</v>
      </c>
      <c r="G23" s="19">
        <f>'9.1a'!E23</f>
        <v>159933055</v>
      </c>
      <c r="H23" s="20">
        <f>ROUND(F23/G23,3)</f>
        <v>0.27900000000000003</v>
      </c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116232968</v>
      </c>
      <c r="F26" s="19">
        <f>SUM(F14:F24)</f>
        <v>157112390</v>
      </c>
      <c r="G26" s="19">
        <f>SUM(G14:G24)</f>
        <v>1315140312</v>
      </c>
      <c r="H26" s="20">
        <f>ROUND(F26/G26,3)</f>
        <v>0.11899999999999999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"&amp;'2.3b'!J1&amp;", "&amp;'2.3b'!J2</f>
        <v>(2) Exhibit 2, Sheet 3b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"&amp;'9.1a'!$J$1&amp;", "&amp;'9.1a'!$J$2</f>
        <v>(6) Exhibit 9, Sheet 1a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FF00"/>
  </sheetPr>
  <dimension ref="A1:M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3" x14ac:dyDescent="0.2">
      <c r="A1" s="8" t="str">
        <f>'1'!$A$1</f>
        <v>Texas Windstorm Insurance Association</v>
      </c>
      <c r="B1" s="12"/>
      <c r="J1" s="7" t="s">
        <v>20</v>
      </c>
      <c r="K1" s="1"/>
      <c r="M1" t="s">
        <v>299</v>
      </c>
    </row>
    <row r="2" spans="1:13" x14ac:dyDescent="0.2">
      <c r="A2" s="8" t="str">
        <f>'1'!$A$2</f>
        <v>Residential Property - Wind &amp; Hail</v>
      </c>
      <c r="B2" s="12"/>
      <c r="J2" s="7" t="s">
        <v>45</v>
      </c>
      <c r="K2" s="2"/>
    </row>
    <row r="3" spans="1:13" x14ac:dyDescent="0.2">
      <c r="A3" s="8" t="str">
        <f>'1'!$A$3</f>
        <v>Rate Level Review</v>
      </c>
      <c r="B3" s="12"/>
      <c r="J3" s="7"/>
      <c r="K3" s="2"/>
    </row>
    <row r="4" spans="1:13" x14ac:dyDescent="0.2">
      <c r="A4" t="s">
        <v>18</v>
      </c>
      <c r="B4" s="12"/>
      <c r="K4" s="2"/>
    </row>
    <row r="5" spans="1:13" x14ac:dyDescent="0.2">
      <c r="A5" t="s">
        <v>44</v>
      </c>
      <c r="B5" s="12"/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3" ht="12" thickTop="1" x14ac:dyDescent="0.2">
      <c r="A8" t="s">
        <v>52</v>
      </c>
      <c r="K8" s="2"/>
    </row>
    <row r="9" spans="1:13" x14ac:dyDescent="0.2">
      <c r="A9" t="s">
        <v>53</v>
      </c>
      <c r="C9" s="194" t="s">
        <v>34</v>
      </c>
      <c r="D9" s="11"/>
      <c r="E9" s="11" t="s">
        <v>37</v>
      </c>
      <c r="F9" s="11" t="s">
        <v>39</v>
      </c>
      <c r="G9" s="11" t="s">
        <v>43</v>
      </c>
      <c r="H9" s="11" t="s">
        <v>13</v>
      </c>
      <c r="K9" s="2"/>
      <c r="L9" s="17"/>
    </row>
    <row r="10" spans="1:13" x14ac:dyDescent="0.2">
      <c r="A10" t="s">
        <v>33</v>
      </c>
      <c r="C10" s="11" t="s">
        <v>8</v>
      </c>
      <c r="D10" s="11" t="s">
        <v>35</v>
      </c>
      <c r="E10" s="11" t="s">
        <v>38</v>
      </c>
      <c r="F10" s="11" t="s">
        <v>8</v>
      </c>
      <c r="G10" s="11" t="s">
        <v>41</v>
      </c>
      <c r="H10" s="11" t="s">
        <v>8</v>
      </c>
      <c r="K10" s="2"/>
      <c r="L10" t="s">
        <v>198</v>
      </c>
    </row>
    <row r="11" spans="1:13" x14ac:dyDescent="0.2">
      <c r="A11" s="9" t="str">
        <f>TEXT($L$11,"m/d")</f>
        <v>9/30</v>
      </c>
      <c r="B11" s="9"/>
      <c r="C11" s="125" t="s">
        <v>40</v>
      </c>
      <c r="D11" s="125" t="s">
        <v>36</v>
      </c>
      <c r="E11" s="125" t="s">
        <v>36</v>
      </c>
      <c r="F11" s="125" t="s">
        <v>11</v>
      </c>
      <c r="G11" s="125" t="s">
        <v>42</v>
      </c>
      <c r="H11" s="125" t="s">
        <v>29</v>
      </c>
      <c r="K11" s="2"/>
      <c r="L11" s="37">
        <f>'2.4a'!L$22</f>
        <v>45199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3" x14ac:dyDescent="0.2">
      <c r="K13" s="2"/>
    </row>
    <row r="14" spans="1:13" x14ac:dyDescent="0.2">
      <c r="A14" t="str">
        <f t="shared" ref="A14:A22" si="1">TEXT(A15-1,"#")</f>
        <v>2014</v>
      </c>
      <c r="B14" s="23"/>
      <c r="C14" s="19">
        <f>'2.3c'!E14</f>
        <v>1618066</v>
      </c>
      <c r="D14" s="29">
        <f>'4'!$E$64</f>
        <v>0.28999999999999998</v>
      </c>
      <c r="E14" s="28">
        <f>'2.2a'!E14</f>
        <v>1.145</v>
      </c>
      <c r="F14" s="19">
        <f t="shared" ref="F14:F23" si="2">ROUND(C14*(1+D14)*E14,0)</f>
        <v>2389964</v>
      </c>
      <c r="G14" s="19">
        <f>'9.1b'!E14</f>
        <v>78255381</v>
      </c>
      <c r="H14" s="20">
        <f t="shared" ref="H14:H23" si="3">ROUND(F14/G14,3)</f>
        <v>3.1E-2</v>
      </c>
      <c r="I14" s="20"/>
      <c r="K14" s="2"/>
    </row>
    <row r="15" spans="1:13" x14ac:dyDescent="0.2">
      <c r="A15" t="str">
        <f t="shared" si="1"/>
        <v>2015</v>
      </c>
      <c r="B15" s="23"/>
      <c r="C15" s="19">
        <f>'2.3c'!E15</f>
        <v>9468390</v>
      </c>
      <c r="D15" s="29">
        <f t="shared" ref="D15:D23" si="4">D$14</f>
        <v>0.28999999999999998</v>
      </c>
      <c r="E15" s="28">
        <f>'2.2a'!E15</f>
        <v>1.131</v>
      </c>
      <c r="F15" s="19">
        <f t="shared" si="2"/>
        <v>13814286</v>
      </c>
      <c r="G15" s="19">
        <f>'9.1b'!E15</f>
        <v>81529229</v>
      </c>
      <c r="H15" s="20">
        <f t="shared" si="3"/>
        <v>0.16900000000000001</v>
      </c>
      <c r="I15" s="20"/>
      <c r="K15" s="2"/>
    </row>
    <row r="16" spans="1:13" x14ac:dyDescent="0.2">
      <c r="A16" t="str">
        <f t="shared" si="1"/>
        <v>2016</v>
      </c>
      <c r="B16" s="23"/>
      <c r="C16" s="19">
        <f>'2.3c'!E16</f>
        <v>9533582</v>
      </c>
      <c r="D16" s="29">
        <f t="shared" si="4"/>
        <v>0.28999999999999998</v>
      </c>
      <c r="E16" s="28">
        <f>'2.2a'!E16</f>
        <v>1.135</v>
      </c>
      <c r="F16" s="19">
        <f t="shared" si="2"/>
        <v>13958594</v>
      </c>
      <c r="G16" s="19">
        <f>'9.1b'!E16</f>
        <v>80522915</v>
      </c>
      <c r="H16" s="20">
        <f t="shared" si="3"/>
        <v>0.17299999999999999</v>
      </c>
      <c r="I16" s="20"/>
      <c r="K16" s="2"/>
    </row>
    <row r="17" spans="1:11" x14ac:dyDescent="0.2">
      <c r="A17" t="str">
        <f t="shared" si="1"/>
        <v>2017</v>
      </c>
      <c r="B17" s="23"/>
      <c r="C17" s="19">
        <f>'2.3c'!E17</f>
        <v>7674191</v>
      </c>
      <c r="D17" s="29">
        <f t="shared" si="4"/>
        <v>0.28999999999999998</v>
      </c>
      <c r="E17" s="28">
        <f>'2.2a'!E17</f>
        <v>1.097</v>
      </c>
      <c r="F17" s="19">
        <f t="shared" si="2"/>
        <v>10859978</v>
      </c>
      <c r="G17" s="19">
        <f>'9.1b'!E17</f>
        <v>76211725</v>
      </c>
      <c r="H17" s="20">
        <f t="shared" si="3"/>
        <v>0.14199999999999999</v>
      </c>
      <c r="I17" s="20"/>
      <c r="K17" s="2"/>
    </row>
    <row r="18" spans="1:11" x14ac:dyDescent="0.2">
      <c r="A18" t="str">
        <f t="shared" si="1"/>
        <v>2018</v>
      </c>
      <c r="B18" s="23"/>
      <c r="C18" s="19">
        <f>'2.3c'!E18</f>
        <v>1116311</v>
      </c>
      <c r="D18" s="29">
        <f t="shared" si="4"/>
        <v>0.28999999999999998</v>
      </c>
      <c r="E18" s="28">
        <f>'2.2a'!E18</f>
        <v>1.083</v>
      </c>
      <c r="F18" s="19">
        <f t="shared" si="2"/>
        <v>1559565</v>
      </c>
      <c r="G18" s="19">
        <f>'9.1b'!E18</f>
        <v>68808541</v>
      </c>
      <c r="H18" s="20">
        <f t="shared" si="3"/>
        <v>2.3E-2</v>
      </c>
      <c r="I18" s="20"/>
      <c r="K18" s="2"/>
    </row>
    <row r="19" spans="1:11" x14ac:dyDescent="0.2">
      <c r="A19" t="str">
        <f t="shared" si="1"/>
        <v>2019</v>
      </c>
      <c r="B19" s="23"/>
      <c r="C19" s="19">
        <f>'2.3c'!E19</f>
        <v>840804</v>
      </c>
      <c r="D19" s="29">
        <f t="shared" si="4"/>
        <v>0.28999999999999998</v>
      </c>
      <c r="E19" s="28">
        <f>'2.2a'!E19</f>
        <v>1.0509999999999999</v>
      </c>
      <c r="F19" s="19">
        <f t="shared" si="2"/>
        <v>1139954</v>
      </c>
      <c r="G19" s="19">
        <f>'9.1b'!E19</f>
        <v>62864123</v>
      </c>
      <c r="H19" s="20">
        <f t="shared" si="3"/>
        <v>1.7999999999999999E-2</v>
      </c>
      <c r="I19" s="20"/>
      <c r="K19" s="2"/>
    </row>
    <row r="20" spans="1:11" x14ac:dyDescent="0.2">
      <c r="A20" t="str">
        <f t="shared" si="1"/>
        <v>2020</v>
      </c>
      <c r="B20" s="23"/>
      <c r="C20" s="19">
        <f>'2.3c'!E20</f>
        <v>483920</v>
      </c>
      <c r="D20" s="29">
        <f t="shared" si="4"/>
        <v>0.28999999999999998</v>
      </c>
      <c r="E20" s="28">
        <f>'2.2a'!E20</f>
        <v>1.0640000000000001</v>
      </c>
      <c r="F20" s="19">
        <f t="shared" si="2"/>
        <v>664209</v>
      </c>
      <c r="G20" s="19">
        <f>'9.1b'!E20</f>
        <v>60369447</v>
      </c>
      <c r="H20" s="20">
        <f t="shared" si="3"/>
        <v>1.0999999999999999E-2</v>
      </c>
      <c r="I20" s="20"/>
      <c r="K20" s="2"/>
    </row>
    <row r="21" spans="1:11" x14ac:dyDescent="0.2">
      <c r="A21" t="str">
        <f t="shared" si="1"/>
        <v>2021</v>
      </c>
      <c r="B21" s="23"/>
      <c r="C21" s="19">
        <f>'2.3c'!E21</f>
        <v>788242</v>
      </c>
      <c r="D21" s="29">
        <f t="shared" si="4"/>
        <v>0.28999999999999998</v>
      </c>
      <c r="E21" s="28">
        <f>'2.2a'!E21</f>
        <v>1.0069999999999999</v>
      </c>
      <c r="F21" s="19">
        <f>ROUND(C21*(1+D21)*E21,0)</f>
        <v>1023950</v>
      </c>
      <c r="G21" s="19">
        <f>'9.1b'!E21</f>
        <v>59850735</v>
      </c>
      <c r="H21" s="20">
        <f t="shared" si="3"/>
        <v>1.7000000000000001E-2</v>
      </c>
      <c r="I21" s="20"/>
      <c r="K21" s="2"/>
    </row>
    <row r="22" spans="1:11" x14ac:dyDescent="0.2">
      <c r="A22" t="str">
        <f t="shared" si="1"/>
        <v>2022</v>
      </c>
      <c r="B22" s="23"/>
      <c r="C22" s="19">
        <f>'2.3c'!E22</f>
        <v>1209235</v>
      </c>
      <c r="D22" s="29">
        <f t="shared" si="4"/>
        <v>0.28999999999999998</v>
      </c>
      <c r="E22" s="28">
        <f>'2.2a'!E22</f>
        <v>0.97</v>
      </c>
      <c r="F22" s="19">
        <f t="shared" si="2"/>
        <v>1513116</v>
      </c>
      <c r="G22" s="19">
        <f>'9.1b'!E22</f>
        <v>62591785</v>
      </c>
      <c r="H22" s="20">
        <f t="shared" si="3"/>
        <v>2.4E-2</v>
      </c>
      <c r="I22" s="20"/>
      <c r="K22" s="2"/>
    </row>
    <row r="23" spans="1:11" x14ac:dyDescent="0.2">
      <c r="A23" t="str">
        <f>TEXT(YEAR($L$11),"#")</f>
        <v>2023</v>
      </c>
      <c r="B23" s="23"/>
      <c r="C23" s="19">
        <f>'2.3c'!E23</f>
        <v>1566684</v>
      </c>
      <c r="D23" s="29">
        <f t="shared" si="4"/>
        <v>0.28999999999999998</v>
      </c>
      <c r="E23" s="28">
        <f>'2.2a'!E23</f>
        <v>1.024</v>
      </c>
      <c r="F23" s="19">
        <f t="shared" si="2"/>
        <v>2069527</v>
      </c>
      <c r="G23" s="19">
        <f>'9.1b'!E23</f>
        <v>76445090</v>
      </c>
      <c r="H23" s="20">
        <f t="shared" si="3"/>
        <v>2.7E-2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34299425</v>
      </c>
      <c r="F26" s="19">
        <f>SUM(F14:F24)</f>
        <v>48993143</v>
      </c>
      <c r="G26" s="19">
        <f>SUM(G14:G24)</f>
        <v>707448971</v>
      </c>
      <c r="H26" s="20">
        <f>ROUND(F26/G26,3)</f>
        <v>6.9000000000000006E-2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"&amp;'2.3c'!$J$1&amp;", "&amp;'2.3c'!$J$2</f>
        <v>(2) Exhibit 2, Sheet 3c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"&amp;'9.1b'!$J$1&amp;", "&amp;'9.1b'!$J$2</f>
        <v>(6) Exhibit 9, Sheet 1b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FF0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47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94" t="s">
        <v>34</v>
      </c>
      <c r="D9" s="11"/>
      <c r="E9" s="11" t="s">
        <v>37</v>
      </c>
      <c r="F9" s="11" t="s">
        <v>39</v>
      </c>
      <c r="G9" s="11" t="s">
        <v>43</v>
      </c>
      <c r="H9" s="11" t="s">
        <v>13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35</v>
      </c>
      <c r="E10" s="11" t="s">
        <v>38</v>
      </c>
      <c r="F10" s="11" t="s">
        <v>8</v>
      </c>
      <c r="G10" s="11" t="s">
        <v>41</v>
      </c>
      <c r="H10" s="11" t="s">
        <v>8</v>
      </c>
      <c r="K10" s="2"/>
      <c r="L10" t="s">
        <v>198</v>
      </c>
    </row>
    <row r="11" spans="1:12" x14ac:dyDescent="0.2">
      <c r="A11" s="9" t="str">
        <f>TEXT($L$11,"m/d")</f>
        <v>9/30</v>
      </c>
      <c r="B11" s="9"/>
      <c r="C11" s="125" t="s">
        <v>40</v>
      </c>
      <c r="D11" s="125" t="s">
        <v>36</v>
      </c>
      <c r="E11" s="125" t="s">
        <v>36</v>
      </c>
      <c r="F11" s="125" t="s">
        <v>11</v>
      </c>
      <c r="G11" s="125" t="s">
        <v>42</v>
      </c>
      <c r="H11" s="125" t="s">
        <v>29</v>
      </c>
      <c r="K11" s="2"/>
      <c r="L11" s="37">
        <f>'2.4a'!L$22</f>
        <v>45199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2014</v>
      </c>
      <c r="B14" s="23"/>
      <c r="C14" s="19">
        <f>'2.3d'!E14</f>
        <v>2847173</v>
      </c>
      <c r="D14" s="29">
        <f>'4'!$E$64</f>
        <v>0.28999999999999998</v>
      </c>
      <c r="E14" s="28">
        <f>'2.2a'!E14</f>
        <v>1.145</v>
      </c>
      <c r="F14" s="19">
        <f t="shared" ref="F14:F22" si="2">ROUND(C14*(1+D14)*E14,0)</f>
        <v>4205417</v>
      </c>
      <c r="G14" s="19">
        <f>'9.1c'!E14</f>
        <v>233107124</v>
      </c>
      <c r="H14" s="20">
        <f>ROUND(F14/G14,3)</f>
        <v>1.7999999999999999E-2</v>
      </c>
      <c r="I14" s="20"/>
      <c r="K14" s="2"/>
    </row>
    <row r="15" spans="1:12" x14ac:dyDescent="0.2">
      <c r="A15" t="str">
        <f t="shared" si="1"/>
        <v>2015</v>
      </c>
      <c r="B15" s="23"/>
      <c r="C15" s="19">
        <f>'2.3d'!E15</f>
        <v>86534172</v>
      </c>
      <c r="D15" s="29">
        <f t="shared" ref="D15:D23" si="3">D$14</f>
        <v>0.28999999999999998</v>
      </c>
      <c r="E15" s="28">
        <f>'2.2a'!E15</f>
        <v>1.131</v>
      </c>
      <c r="F15" s="19">
        <f t="shared" si="2"/>
        <v>126252492</v>
      </c>
      <c r="G15" s="19">
        <f>'9.1c'!E15</f>
        <v>237999667</v>
      </c>
      <c r="H15" s="20">
        <f t="shared" ref="H15:H22" si="4">ROUND(F15/G15,3)</f>
        <v>0.53</v>
      </c>
      <c r="I15" s="20"/>
      <c r="K15" s="2"/>
    </row>
    <row r="16" spans="1:12" x14ac:dyDescent="0.2">
      <c r="A16" t="str">
        <f t="shared" si="1"/>
        <v>2016</v>
      </c>
      <c r="B16" s="23"/>
      <c r="C16" s="19">
        <f>'2.3d'!E16</f>
        <v>12170939</v>
      </c>
      <c r="D16" s="29">
        <f t="shared" si="3"/>
        <v>0.28999999999999998</v>
      </c>
      <c r="E16" s="28">
        <f>'2.2a'!E16</f>
        <v>1.135</v>
      </c>
      <c r="F16" s="19">
        <f t="shared" si="2"/>
        <v>17820080</v>
      </c>
      <c r="G16" s="19">
        <f>'9.1c'!E16</f>
        <v>227183607</v>
      </c>
      <c r="H16" s="20">
        <f t="shared" si="4"/>
        <v>7.8E-2</v>
      </c>
      <c r="I16" s="20"/>
      <c r="K16" s="2"/>
    </row>
    <row r="17" spans="1:11" x14ac:dyDescent="0.2">
      <c r="A17" t="str">
        <f t="shared" si="1"/>
        <v>2017</v>
      </c>
      <c r="B17" s="23"/>
      <c r="C17" s="19">
        <f>'2.3d'!E17</f>
        <v>21918178</v>
      </c>
      <c r="D17" s="29">
        <f t="shared" si="3"/>
        <v>0.28999999999999998</v>
      </c>
      <c r="E17" s="28">
        <f>'2.2a'!E17</f>
        <v>1.097</v>
      </c>
      <c r="F17" s="19">
        <f t="shared" si="2"/>
        <v>31017071</v>
      </c>
      <c r="G17" s="19">
        <f>'9.1c'!E17</f>
        <v>207881527</v>
      </c>
      <c r="H17" s="20">
        <f t="shared" si="4"/>
        <v>0.14899999999999999</v>
      </c>
      <c r="I17" s="20"/>
      <c r="K17" s="2"/>
    </row>
    <row r="18" spans="1:11" x14ac:dyDescent="0.2">
      <c r="A18" t="str">
        <f t="shared" si="1"/>
        <v>2018</v>
      </c>
      <c r="B18" s="23"/>
      <c r="C18" s="19">
        <f>'2.3d'!E18</f>
        <v>6779148</v>
      </c>
      <c r="D18" s="29">
        <f t="shared" si="3"/>
        <v>0.28999999999999998</v>
      </c>
      <c r="E18" s="28">
        <f>'2.2a'!E18</f>
        <v>1.083</v>
      </c>
      <c r="F18" s="19">
        <f t="shared" si="2"/>
        <v>9470944</v>
      </c>
      <c r="G18" s="19">
        <f>'9.1c'!E18</f>
        <v>179645974</v>
      </c>
      <c r="H18" s="20">
        <f t="shared" si="4"/>
        <v>5.2999999999999999E-2</v>
      </c>
      <c r="I18" s="20"/>
      <c r="K18" s="2"/>
    </row>
    <row r="19" spans="1:11" x14ac:dyDescent="0.2">
      <c r="A19" t="str">
        <f t="shared" si="1"/>
        <v>2019</v>
      </c>
      <c r="B19" s="23"/>
      <c r="C19" s="19">
        <f>'2.3d'!E19</f>
        <v>10208022</v>
      </c>
      <c r="D19" s="29">
        <f t="shared" si="3"/>
        <v>0.28999999999999998</v>
      </c>
      <c r="E19" s="28">
        <f>'2.2a'!E19</f>
        <v>1.0509999999999999</v>
      </c>
      <c r="F19" s="19">
        <f t="shared" si="2"/>
        <v>13839934</v>
      </c>
      <c r="G19" s="19">
        <f>'9.1c'!E19</f>
        <v>159579121</v>
      </c>
      <c r="H19" s="20">
        <f t="shared" si="4"/>
        <v>8.6999999999999994E-2</v>
      </c>
      <c r="I19" s="20"/>
      <c r="K19" s="2"/>
    </row>
    <row r="20" spans="1:11" x14ac:dyDescent="0.2">
      <c r="A20" t="str">
        <f t="shared" si="1"/>
        <v>2020</v>
      </c>
      <c r="B20" s="23"/>
      <c r="C20" s="19">
        <f>'2.3d'!E20</f>
        <v>22040186</v>
      </c>
      <c r="D20" s="29">
        <f t="shared" si="3"/>
        <v>0.28999999999999998</v>
      </c>
      <c r="E20" s="28">
        <f>'2.2a'!E20</f>
        <v>1.0640000000000001</v>
      </c>
      <c r="F20" s="19">
        <f t="shared" si="2"/>
        <v>30251478</v>
      </c>
      <c r="G20" s="19">
        <f>'9.1c'!E20</f>
        <v>148714964</v>
      </c>
      <c r="H20" s="20">
        <f t="shared" si="4"/>
        <v>0.20300000000000001</v>
      </c>
      <c r="I20" s="20"/>
      <c r="K20" s="2"/>
    </row>
    <row r="21" spans="1:11" x14ac:dyDescent="0.2">
      <c r="A21" t="str">
        <f t="shared" si="1"/>
        <v>2021</v>
      </c>
      <c r="B21" s="23"/>
      <c r="C21" s="19">
        <f>'2.3d'!E21</f>
        <v>30328898</v>
      </c>
      <c r="D21" s="29">
        <f t="shared" si="3"/>
        <v>0.28999999999999998</v>
      </c>
      <c r="E21" s="28">
        <f>'2.2a'!E21</f>
        <v>1.0069999999999999</v>
      </c>
      <c r="F21" s="19">
        <f t="shared" si="2"/>
        <v>39398148</v>
      </c>
      <c r="G21" s="19">
        <f>'9.1c'!E21</f>
        <v>147041832</v>
      </c>
      <c r="H21" s="20">
        <f t="shared" si="4"/>
        <v>0.26800000000000002</v>
      </c>
      <c r="I21" s="20"/>
      <c r="K21" s="2"/>
    </row>
    <row r="22" spans="1:11" x14ac:dyDescent="0.2">
      <c r="A22" t="str">
        <f t="shared" si="1"/>
        <v>2022</v>
      </c>
      <c r="B22" s="23"/>
      <c r="C22" s="19">
        <f>'2.3d'!E22</f>
        <v>13200665</v>
      </c>
      <c r="D22" s="29">
        <f t="shared" si="3"/>
        <v>0.28999999999999998</v>
      </c>
      <c r="E22" s="28">
        <f>'2.2a'!E22</f>
        <v>0.97</v>
      </c>
      <c r="F22" s="19">
        <f t="shared" si="2"/>
        <v>16517992</v>
      </c>
      <c r="G22" s="19">
        <f>'9.1c'!E22</f>
        <v>157257092</v>
      </c>
      <c r="H22" s="20">
        <f t="shared" si="4"/>
        <v>0.105</v>
      </c>
      <c r="I22" s="20"/>
      <c r="K22" s="2"/>
    </row>
    <row r="23" spans="1:11" x14ac:dyDescent="0.2">
      <c r="A23" t="str">
        <f>TEXT(YEAR($L$11),"#")</f>
        <v>2023</v>
      </c>
      <c r="B23" s="23"/>
      <c r="C23" s="19">
        <f>'2.3d'!E23</f>
        <v>32660717</v>
      </c>
      <c r="D23" s="29">
        <f t="shared" si="3"/>
        <v>0.28999999999999998</v>
      </c>
      <c r="E23" s="28">
        <f>'2.2a'!E23</f>
        <v>1.024</v>
      </c>
      <c r="F23" s="19">
        <f>ROUND(C23*(1+D23)*E23,0)</f>
        <v>43143501</v>
      </c>
      <c r="G23" s="19">
        <f>'9.1c'!E23</f>
        <v>211507410</v>
      </c>
      <c r="H23" s="20">
        <f>ROUND(F23/G23,3)</f>
        <v>0.20399999999999999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238688098</v>
      </c>
      <c r="F26" s="19">
        <f>SUM(F14:F24)</f>
        <v>331917057</v>
      </c>
      <c r="G26" s="19">
        <f>SUM(G14:G24)</f>
        <v>1909918318</v>
      </c>
      <c r="H26" s="20">
        <f>ROUND(F26/G26,3)</f>
        <v>0.17399999999999999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"&amp;'2.3d'!$J$1&amp;", "&amp;'2.3d'!$J$2</f>
        <v>(2) Exhibit 2, Sheet 3d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"&amp;'9.1c'!$J$1&amp;", "&amp;'9.1c'!$J$2</f>
        <v>(6) Exhibit 9, Sheet 1c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FF00"/>
  </sheetPr>
  <dimension ref="A1:L57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48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94" t="s">
        <v>34</v>
      </c>
      <c r="D9" s="11"/>
      <c r="E9" s="11" t="s">
        <v>37</v>
      </c>
      <c r="F9" s="11" t="s">
        <v>39</v>
      </c>
      <c r="G9" s="11" t="s">
        <v>43</v>
      </c>
      <c r="H9" s="11" t="s">
        <v>13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35</v>
      </c>
      <c r="E10" s="11" t="s">
        <v>38</v>
      </c>
      <c r="F10" s="11" t="s">
        <v>8</v>
      </c>
      <c r="G10" s="11" t="s">
        <v>41</v>
      </c>
      <c r="H10" s="11" t="s">
        <v>8</v>
      </c>
      <c r="K10" s="2"/>
      <c r="L10" t="s">
        <v>198</v>
      </c>
    </row>
    <row r="11" spans="1:12" x14ac:dyDescent="0.2">
      <c r="A11" s="9" t="str">
        <f>TEXT($L$11,"m/d")</f>
        <v>9/30</v>
      </c>
      <c r="B11" s="9"/>
      <c r="C11" s="125" t="s">
        <v>40</v>
      </c>
      <c r="D11" s="125" t="s">
        <v>36</v>
      </c>
      <c r="E11" s="125" t="s">
        <v>36</v>
      </c>
      <c r="F11" s="125" t="s">
        <v>11</v>
      </c>
      <c r="G11" s="125" t="s">
        <v>42</v>
      </c>
      <c r="H11" s="125" t="s">
        <v>29</v>
      </c>
      <c r="K11" s="2"/>
      <c r="L11" s="115">
        <f>'2.4a'!L$22</f>
        <v>45199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2014</v>
      </c>
      <c r="B14" s="23"/>
      <c r="C14" s="19">
        <f>'2.3e'!E14</f>
        <v>30748</v>
      </c>
      <c r="D14" s="29">
        <f>'4'!$E$64</f>
        <v>0.28999999999999998</v>
      </c>
      <c r="E14" s="28">
        <f>'2.2a'!E14</f>
        <v>1.145</v>
      </c>
      <c r="F14" s="19">
        <f>ROUND(C14*(1+D14)*E14,0)</f>
        <v>45416</v>
      </c>
      <c r="G14" s="19">
        <f>'9.1d'!E14</f>
        <v>4882886</v>
      </c>
      <c r="H14" s="20">
        <f>ROUND(F14/G14,3)</f>
        <v>8.9999999999999993E-3</v>
      </c>
      <c r="I14" s="20"/>
      <c r="K14" s="2"/>
    </row>
    <row r="15" spans="1:12" x14ac:dyDescent="0.2">
      <c r="A15" t="str">
        <f t="shared" si="1"/>
        <v>2015</v>
      </c>
      <c r="B15" s="23"/>
      <c r="C15" s="19">
        <f>'2.3e'!E15</f>
        <v>339607</v>
      </c>
      <c r="D15" s="29">
        <f t="shared" ref="D15:D23" si="2">D$14</f>
        <v>0.28999999999999998</v>
      </c>
      <c r="E15" s="28">
        <f>'2.2a'!E15</f>
        <v>1.131</v>
      </c>
      <c r="F15" s="19">
        <f t="shared" ref="F15:F22" si="3">ROUND(C15*(1+D15)*E15,0)</f>
        <v>495483</v>
      </c>
      <c r="G15" s="19">
        <f>'9.1d'!E15</f>
        <v>4986385</v>
      </c>
      <c r="H15" s="20">
        <f t="shared" ref="H15:H22" si="4">ROUND(F15/G15,3)</f>
        <v>9.9000000000000005E-2</v>
      </c>
      <c r="I15" s="20"/>
      <c r="K15" s="2"/>
    </row>
    <row r="16" spans="1:12" x14ac:dyDescent="0.2">
      <c r="A16" t="str">
        <f t="shared" si="1"/>
        <v>2016</v>
      </c>
      <c r="B16" s="23"/>
      <c r="C16" s="19">
        <f>'2.3e'!E16</f>
        <v>446561</v>
      </c>
      <c r="D16" s="29">
        <f t="shared" si="2"/>
        <v>0.28999999999999998</v>
      </c>
      <c r="E16" s="28">
        <f>'2.2a'!E16</f>
        <v>1.135</v>
      </c>
      <c r="F16" s="19">
        <f t="shared" si="3"/>
        <v>653832</v>
      </c>
      <c r="G16" s="19">
        <f>'9.1d'!E16</f>
        <v>5015200</v>
      </c>
      <c r="H16" s="20">
        <f t="shared" si="4"/>
        <v>0.13</v>
      </c>
      <c r="I16" s="20"/>
      <c r="K16" s="2"/>
    </row>
    <row r="17" spans="1:11" x14ac:dyDescent="0.2">
      <c r="A17" t="str">
        <f t="shared" si="1"/>
        <v>2017</v>
      </c>
      <c r="B17" s="23"/>
      <c r="C17" s="19">
        <f>'2.3e'!E17</f>
        <v>483192</v>
      </c>
      <c r="D17" s="29">
        <f t="shared" si="2"/>
        <v>0.28999999999999998</v>
      </c>
      <c r="E17" s="28">
        <f>'2.2a'!E17</f>
        <v>1.097</v>
      </c>
      <c r="F17" s="19">
        <f t="shared" si="3"/>
        <v>683779</v>
      </c>
      <c r="G17" s="19">
        <f>'9.1d'!E17</f>
        <v>4890478</v>
      </c>
      <c r="H17" s="20">
        <f t="shared" si="4"/>
        <v>0.14000000000000001</v>
      </c>
      <c r="I17" s="20"/>
      <c r="K17" s="2"/>
    </row>
    <row r="18" spans="1:11" x14ac:dyDescent="0.2">
      <c r="A18" t="str">
        <f t="shared" si="1"/>
        <v>2018</v>
      </c>
      <c r="B18" s="23"/>
      <c r="C18" s="19">
        <f>'2.3e'!E18</f>
        <v>283290</v>
      </c>
      <c r="D18" s="29">
        <f t="shared" si="2"/>
        <v>0.28999999999999998</v>
      </c>
      <c r="E18" s="28">
        <f>'2.2a'!E18</f>
        <v>1.083</v>
      </c>
      <c r="F18" s="19">
        <f t="shared" si="3"/>
        <v>395776</v>
      </c>
      <c r="G18" s="19">
        <f>'9.1d'!E18</f>
        <v>4631462</v>
      </c>
      <c r="H18" s="20">
        <f t="shared" si="4"/>
        <v>8.5000000000000006E-2</v>
      </c>
      <c r="I18" s="20"/>
      <c r="K18" s="2"/>
    </row>
    <row r="19" spans="1:11" x14ac:dyDescent="0.2">
      <c r="A19" t="str">
        <f t="shared" si="1"/>
        <v>2019</v>
      </c>
      <c r="B19" s="23"/>
      <c r="C19" s="19">
        <f>'2.3e'!E19</f>
        <v>2728066</v>
      </c>
      <c r="D19" s="29">
        <f t="shared" si="2"/>
        <v>0.28999999999999998</v>
      </c>
      <c r="E19" s="28">
        <f>'2.2a'!E19</f>
        <v>1.0509999999999999</v>
      </c>
      <c r="F19" s="19">
        <f t="shared" si="3"/>
        <v>3698685</v>
      </c>
      <c r="G19" s="19">
        <f>'9.1d'!E19</f>
        <v>4510864</v>
      </c>
      <c r="H19" s="20">
        <f t="shared" si="4"/>
        <v>0.82</v>
      </c>
      <c r="I19" s="20"/>
      <c r="K19" s="2"/>
    </row>
    <row r="20" spans="1:11" x14ac:dyDescent="0.2">
      <c r="A20" t="str">
        <f t="shared" si="1"/>
        <v>2020</v>
      </c>
      <c r="B20" s="23"/>
      <c r="C20" s="19">
        <f>'2.3e'!E20</f>
        <v>456670</v>
      </c>
      <c r="D20" s="29">
        <f t="shared" si="2"/>
        <v>0.28999999999999998</v>
      </c>
      <c r="E20" s="28">
        <f>'2.2a'!E20</f>
        <v>1.0640000000000001</v>
      </c>
      <c r="F20" s="19">
        <f t="shared" si="3"/>
        <v>626807</v>
      </c>
      <c r="G20" s="19">
        <f>'9.1d'!E20</f>
        <v>4586202</v>
      </c>
      <c r="H20" s="20">
        <f t="shared" si="4"/>
        <v>0.13700000000000001</v>
      </c>
      <c r="I20" s="20"/>
      <c r="K20" s="2"/>
    </row>
    <row r="21" spans="1:11" x14ac:dyDescent="0.2">
      <c r="A21" t="str">
        <f t="shared" si="1"/>
        <v>2021</v>
      </c>
      <c r="B21" s="23"/>
      <c r="C21" s="19">
        <f>'2.3e'!E21</f>
        <v>2128105</v>
      </c>
      <c r="D21" s="29">
        <f t="shared" si="2"/>
        <v>0.28999999999999998</v>
      </c>
      <c r="E21" s="28">
        <f>'2.2a'!E21</f>
        <v>1.0069999999999999</v>
      </c>
      <c r="F21" s="19">
        <f t="shared" si="3"/>
        <v>2764472</v>
      </c>
      <c r="G21" s="19">
        <f>'9.1d'!E21</f>
        <v>4749377</v>
      </c>
      <c r="H21" s="20">
        <f>ROUND(F21/G21,3)</f>
        <v>0.58199999999999996</v>
      </c>
      <c r="I21" s="20"/>
      <c r="K21" s="2"/>
    </row>
    <row r="22" spans="1:11" x14ac:dyDescent="0.2">
      <c r="A22" t="str">
        <f t="shared" si="1"/>
        <v>2022</v>
      </c>
      <c r="B22" s="23"/>
      <c r="C22" s="19">
        <f>'2.3e'!E22</f>
        <v>728027</v>
      </c>
      <c r="D22" s="29">
        <f t="shared" si="2"/>
        <v>0.28999999999999998</v>
      </c>
      <c r="E22" s="28">
        <f>'2.2a'!E22</f>
        <v>0.97</v>
      </c>
      <c r="F22" s="19">
        <f t="shared" si="3"/>
        <v>910980</v>
      </c>
      <c r="G22" s="19">
        <f>'9.1d'!E22</f>
        <v>5048518</v>
      </c>
      <c r="H22" s="20">
        <f t="shared" si="4"/>
        <v>0.18</v>
      </c>
      <c r="I22" s="20"/>
      <c r="K22" s="2"/>
    </row>
    <row r="23" spans="1:11" x14ac:dyDescent="0.2">
      <c r="A23" t="str">
        <f>TEXT(YEAR($L$11),"#")</f>
        <v>2023</v>
      </c>
      <c r="B23" s="23"/>
      <c r="C23" s="19">
        <f>'2.3e'!E23</f>
        <v>4773253</v>
      </c>
      <c r="D23" s="29">
        <f t="shared" si="2"/>
        <v>0.28999999999999998</v>
      </c>
      <c r="E23" s="28">
        <f>'2.2a'!E23</f>
        <v>1.024</v>
      </c>
      <c r="F23" s="19">
        <f>ROUND(C23*(1+D23)*E23,0)</f>
        <v>6305276</v>
      </c>
      <c r="G23" s="19">
        <f>'9.1d'!E23</f>
        <v>5922961</v>
      </c>
      <c r="H23" s="20">
        <f>ROUND(F23/G23,3)</f>
        <v>1.0649999999999999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12397519</v>
      </c>
      <c r="F26" s="19">
        <f>SUM(F14:F24)</f>
        <v>16580506</v>
      </c>
      <c r="G26" s="19">
        <f>SUM(G14:G24)</f>
        <v>49224333</v>
      </c>
      <c r="H26" s="20">
        <f>ROUND(F26/G26,3)</f>
        <v>0.33700000000000002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"&amp;'2.3e'!$J$1&amp;", "&amp;'2.3e'!$J$2</f>
        <v>(2) Exhibit 2, Sheet 3e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"&amp;'9.1d'!$J$1&amp;", "&amp;'9.1d'!$J$2</f>
        <v>(6) Exhibit 9, Sheet 1d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ht="12" thickBot="1" x14ac:dyDescent="0.25">
      <c r="K56" s="2"/>
    </row>
    <row r="57" spans="1:11" ht="12" thickBo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00FF0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3" width="11.33203125" customWidth="1"/>
    <col min="4" max="5" width="15.83203125" bestFit="1" customWidth="1"/>
    <col min="6" max="8" width="14.6640625" customWidth="1"/>
    <col min="9" max="9" width="3.83203125" customWidth="1"/>
    <col min="10" max="10" width="3.6640625" customWidth="1"/>
    <col min="11" max="11" width="4" customWidth="1"/>
    <col min="12" max="12" width="1.83203125" customWidth="1"/>
    <col min="13" max="13" width="4.1640625" customWidth="1"/>
  </cols>
  <sheetData>
    <row r="1" spans="1:15" x14ac:dyDescent="0.2">
      <c r="A1" s="8" t="str">
        <f>'1'!$A$1</f>
        <v>Texas Windstorm Insurance Association</v>
      </c>
      <c r="B1" s="12"/>
      <c r="C1" s="12"/>
      <c r="D1" s="12"/>
      <c r="E1" s="12"/>
      <c r="F1" s="12"/>
      <c r="G1" s="12"/>
      <c r="H1" s="12"/>
      <c r="M1" s="7" t="s">
        <v>20</v>
      </c>
      <c r="N1" s="1"/>
    </row>
    <row r="2" spans="1:15" x14ac:dyDescent="0.2">
      <c r="A2" s="8" t="str">
        <f>'1'!$A$2</f>
        <v>Residential Property - Wind &amp; Hail</v>
      </c>
      <c r="B2" s="12"/>
      <c r="C2" s="12"/>
      <c r="D2" s="12"/>
      <c r="E2" s="12"/>
      <c r="F2" s="12"/>
      <c r="G2" s="12"/>
      <c r="H2" s="12"/>
      <c r="M2" s="7" t="s">
        <v>50</v>
      </c>
      <c r="N2" s="2"/>
    </row>
    <row r="3" spans="1:15" x14ac:dyDescent="0.2">
      <c r="A3" s="8" t="str">
        <f>'1'!$A$3</f>
        <v>Rate Level Review</v>
      </c>
      <c r="B3" s="12"/>
      <c r="C3" s="12"/>
      <c r="D3" s="12"/>
      <c r="E3" s="12"/>
      <c r="F3" s="12"/>
      <c r="G3" s="12"/>
      <c r="H3" s="12"/>
      <c r="N3" s="2"/>
    </row>
    <row r="4" spans="1:15" x14ac:dyDescent="0.2">
      <c r="A4" t="s">
        <v>436</v>
      </c>
      <c r="B4" s="12"/>
      <c r="C4" s="12"/>
      <c r="D4" s="12"/>
      <c r="E4" s="12"/>
      <c r="F4" s="12"/>
      <c r="G4" s="12"/>
      <c r="H4" s="12"/>
      <c r="N4" s="2"/>
    </row>
    <row r="5" spans="1:15" x14ac:dyDescent="0.2">
      <c r="B5" s="12"/>
      <c r="C5" s="12"/>
      <c r="D5" s="12"/>
      <c r="E5" s="12"/>
      <c r="F5" s="12"/>
      <c r="G5" s="12"/>
      <c r="H5" s="12"/>
      <c r="N5" s="2"/>
    </row>
    <row r="6" spans="1:15" x14ac:dyDescent="0.2">
      <c r="N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N7" s="2"/>
    </row>
    <row r="8" spans="1:15" ht="12" thickTop="1" x14ac:dyDescent="0.2">
      <c r="A8" t="s">
        <v>52</v>
      </c>
      <c r="D8" s="11"/>
      <c r="E8" s="11"/>
      <c r="F8" s="11"/>
      <c r="G8" s="11"/>
      <c r="H8" s="11"/>
      <c r="N8" s="2"/>
    </row>
    <row r="9" spans="1:15" x14ac:dyDescent="0.2">
      <c r="A9" t="s">
        <v>53</v>
      </c>
      <c r="C9" s="11" t="s">
        <v>431</v>
      </c>
      <c r="D9" s="11" t="s">
        <v>428</v>
      </c>
      <c r="E9" s="11" t="s">
        <v>428</v>
      </c>
      <c r="F9" s="11" t="s">
        <v>428</v>
      </c>
      <c r="G9" s="11" t="s">
        <v>434</v>
      </c>
      <c r="H9" s="11" t="s">
        <v>434</v>
      </c>
      <c r="N9" s="2"/>
      <c r="O9" s="17"/>
    </row>
    <row r="10" spans="1:15" x14ac:dyDescent="0.2">
      <c r="A10" t="s">
        <v>33</v>
      </c>
      <c r="C10" s="11" t="s">
        <v>432</v>
      </c>
      <c r="D10" s="11" t="s">
        <v>429</v>
      </c>
      <c r="E10" s="11" t="s">
        <v>429</v>
      </c>
      <c r="F10" s="11" t="s">
        <v>55</v>
      </c>
      <c r="G10" s="11" t="s">
        <v>432</v>
      </c>
      <c r="H10" s="11" t="s">
        <v>55</v>
      </c>
      <c r="N10" s="2"/>
    </row>
    <row r="11" spans="1:15" x14ac:dyDescent="0.2">
      <c r="A11" s="9" t="str">
        <f>TEXT(P22,"m/d")</f>
        <v>12/31</v>
      </c>
      <c r="B11" s="9"/>
      <c r="C11" s="125" t="s">
        <v>433</v>
      </c>
      <c r="D11" s="125" t="s">
        <v>54</v>
      </c>
      <c r="E11" s="125" t="s">
        <v>430</v>
      </c>
      <c r="F11" s="125" t="s">
        <v>36</v>
      </c>
      <c r="G11" s="125" t="s">
        <v>433</v>
      </c>
      <c r="H11" s="125" t="s">
        <v>36</v>
      </c>
      <c r="N11" s="2"/>
    </row>
    <row r="12" spans="1:15" x14ac:dyDescent="0.2">
      <c r="A12" s="23" t="str">
        <f>TEXT(COLUMN(),"(#)")</f>
        <v>(1)</v>
      </c>
      <c r="B12" s="13"/>
      <c r="C12" s="11" t="str">
        <f t="shared" ref="C12:E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>TEXT(COLUMN()-1,"(#)")</f>
        <v>(5)</v>
      </c>
      <c r="G12" s="11" t="str">
        <f t="shared" ref="G12:H12" si="1">TEXT(COLUMN()-1,"(#)")</f>
        <v>(6)</v>
      </c>
      <c r="H12" s="11" t="str">
        <f t="shared" si="1"/>
        <v>(7)</v>
      </c>
      <c r="N12" s="2"/>
    </row>
    <row r="13" spans="1:15" x14ac:dyDescent="0.2">
      <c r="N13" s="2"/>
    </row>
    <row r="14" spans="1:15" x14ac:dyDescent="0.2">
      <c r="A14" t="str">
        <f t="shared" ref="A14:A22" si="2">TEXT(A15-1,"#")</f>
        <v>2014</v>
      </c>
      <c r="B14" s="23"/>
      <c r="C14" s="11">
        <f t="shared" ref="C14:C21" si="3">C15+12</f>
        <v>120</v>
      </c>
      <c r="D14" s="157">
        <f>'[3]2.2'!C14</f>
        <v>7871000</v>
      </c>
      <c r="E14" s="157">
        <f>'[3]2.2'!D14</f>
        <v>7871000</v>
      </c>
      <c r="F14" s="116">
        <f t="shared" ref="F14:F23" si="4">E14/D14</f>
        <v>1</v>
      </c>
      <c r="G14" s="210">
        <f t="shared" ref="G14:G22" si="5">C14+3</f>
        <v>123</v>
      </c>
      <c r="H14" s="211">
        <v>1</v>
      </c>
      <c r="N14" s="2"/>
      <c r="O14" s="28"/>
    </row>
    <row r="15" spans="1:15" x14ac:dyDescent="0.2">
      <c r="A15" t="str">
        <f t="shared" si="2"/>
        <v>2015</v>
      </c>
      <c r="B15" s="23"/>
      <c r="C15" s="11">
        <f t="shared" si="3"/>
        <v>108</v>
      </c>
      <c r="D15" s="157">
        <f>'[3]2.2'!C15</f>
        <v>138697000</v>
      </c>
      <c r="E15" s="157">
        <f>'[3]2.2'!D15</f>
        <v>138836000</v>
      </c>
      <c r="F15" s="116">
        <f t="shared" si="4"/>
        <v>1.0010021846182686</v>
      </c>
      <c r="G15" s="210">
        <f t="shared" si="5"/>
        <v>111</v>
      </c>
      <c r="H15" s="116" cm="1">
        <f t="array" ref="H15">TREND(F14:F15,C14:C15,G15)</f>
        <v>1.0007516384637014</v>
      </c>
      <c r="N15" s="2"/>
      <c r="O15" s="28"/>
    </row>
    <row r="16" spans="1:15" x14ac:dyDescent="0.2">
      <c r="A16" t="str">
        <f t="shared" si="2"/>
        <v>2016</v>
      </c>
      <c r="B16" s="23"/>
      <c r="C16" s="11">
        <f t="shared" si="3"/>
        <v>96</v>
      </c>
      <c r="D16" s="157">
        <f>'[3]2.2'!C16</f>
        <v>28422000</v>
      </c>
      <c r="E16" s="157">
        <f>'[3]2.2'!D16</f>
        <v>28422000</v>
      </c>
      <c r="F16" s="116">
        <f t="shared" si="4"/>
        <v>1</v>
      </c>
      <c r="G16" s="210">
        <f t="shared" si="5"/>
        <v>99</v>
      </c>
      <c r="H16" s="116" cm="1">
        <f t="array" ref="H16">TREND(F15:F16,C15:C16,G16)</f>
        <v>1.0002505461545672</v>
      </c>
      <c r="N16" s="2"/>
      <c r="O16" s="28"/>
    </row>
    <row r="17" spans="1:16" x14ac:dyDescent="0.2">
      <c r="A17" t="str">
        <f t="shared" si="2"/>
        <v>2017</v>
      </c>
      <c r="B17" s="23"/>
      <c r="C17" s="11">
        <f t="shared" si="3"/>
        <v>84</v>
      </c>
      <c r="D17" s="157">
        <f>'[3]2.2'!C17</f>
        <v>1402282000</v>
      </c>
      <c r="E17" s="157">
        <f>'[3]2.2'!D17</f>
        <v>1410332000</v>
      </c>
      <c r="F17" s="116">
        <f t="shared" si="4"/>
        <v>1.0057406427523137</v>
      </c>
      <c r="G17" s="210">
        <f t="shared" si="5"/>
        <v>87</v>
      </c>
      <c r="H17" s="116" cm="1">
        <f t="array" ref="H17">TREND(F16:F17,C16:C17,G17)</f>
        <v>1.0043054820642354</v>
      </c>
      <c r="N17" s="2"/>
      <c r="O17" s="28"/>
    </row>
    <row r="18" spans="1:16" x14ac:dyDescent="0.2">
      <c r="A18" t="str">
        <f t="shared" si="2"/>
        <v>2018</v>
      </c>
      <c r="B18" s="23"/>
      <c r="C18" s="11">
        <f t="shared" si="3"/>
        <v>72</v>
      </c>
      <c r="D18" s="157">
        <f>'[3]2.2'!C18</f>
        <v>12097000</v>
      </c>
      <c r="E18" s="157">
        <f>'[3]2.2'!D18</f>
        <v>12107000</v>
      </c>
      <c r="F18" s="116">
        <f t="shared" si="4"/>
        <v>1.0008266512358437</v>
      </c>
      <c r="G18" s="210">
        <f t="shared" si="5"/>
        <v>75</v>
      </c>
      <c r="H18" s="116" cm="1">
        <f t="array" ref="H18">TREND(F17:F18,C17:C18,G18)</f>
        <v>1.0020551491149612</v>
      </c>
      <c r="N18" s="2"/>
      <c r="O18" s="28"/>
    </row>
    <row r="19" spans="1:16" x14ac:dyDescent="0.2">
      <c r="A19" t="str">
        <f t="shared" si="2"/>
        <v>2019</v>
      </c>
      <c r="B19" s="23"/>
      <c r="C19" s="11">
        <f t="shared" si="3"/>
        <v>60</v>
      </c>
      <c r="D19" s="157">
        <f>'[3]2.2'!C19</f>
        <v>17606000</v>
      </c>
      <c r="E19" s="157">
        <f>'[3]2.2'!D19</f>
        <v>17832000</v>
      </c>
      <c r="F19" s="116">
        <f t="shared" si="4"/>
        <v>1.0128365330001137</v>
      </c>
      <c r="G19" s="210">
        <f t="shared" si="5"/>
        <v>63</v>
      </c>
      <c r="H19" s="116" cm="1">
        <f t="array" ref="H19">TREND(F18:F19,C18:C19,G19)</f>
        <v>1.0098340625590461</v>
      </c>
      <c r="N19" s="2"/>
      <c r="O19" s="28"/>
    </row>
    <row r="20" spans="1:16" x14ac:dyDescent="0.2">
      <c r="A20" t="str">
        <f t="shared" si="2"/>
        <v>2020</v>
      </c>
      <c r="B20" s="23"/>
      <c r="C20" s="11">
        <f t="shared" si="3"/>
        <v>48</v>
      </c>
      <c r="D20" s="157">
        <f>'[3]2.2'!C20</f>
        <v>64031000</v>
      </c>
      <c r="E20" s="157">
        <f>'[3]2.2'!D20</f>
        <v>65043000</v>
      </c>
      <c r="F20" s="116">
        <f t="shared" si="4"/>
        <v>1.0158048445284316</v>
      </c>
      <c r="G20" s="210">
        <f t="shared" si="5"/>
        <v>51</v>
      </c>
      <c r="H20" s="116" cm="1">
        <f t="array" ref="H20">TREND(F19:F20,C19:C20,G20)</f>
        <v>1.0150627666463521</v>
      </c>
      <c r="N20" s="2"/>
      <c r="O20" s="28"/>
    </row>
    <row r="21" spans="1:16" x14ac:dyDescent="0.2">
      <c r="A21" t="str">
        <f t="shared" si="2"/>
        <v>2021</v>
      </c>
      <c r="B21" s="23"/>
      <c r="C21" s="11">
        <f t="shared" si="3"/>
        <v>36</v>
      </c>
      <c r="D21" s="157">
        <f>'[3]2.2'!C21</f>
        <v>64894000</v>
      </c>
      <c r="E21" s="157">
        <f>'[3]2.2'!D21</f>
        <v>67732000</v>
      </c>
      <c r="F21" s="116">
        <f t="shared" si="4"/>
        <v>1.0437328566585509</v>
      </c>
      <c r="G21" s="210">
        <f t="shared" si="5"/>
        <v>39</v>
      </c>
      <c r="H21" s="116" cm="1">
        <f t="array" ref="H21">TREND(F20:F21,C20:C21,G21)</f>
        <v>1.036750853626021</v>
      </c>
      <c r="N21" s="2"/>
      <c r="O21" t="s">
        <v>198</v>
      </c>
      <c r="P21" t="s">
        <v>199</v>
      </c>
    </row>
    <row r="22" spans="1:16" x14ac:dyDescent="0.2">
      <c r="A22" t="str">
        <f t="shared" si="2"/>
        <v>2022</v>
      </c>
      <c r="B22" s="23"/>
      <c r="C22" s="11">
        <f>C23+12</f>
        <v>24</v>
      </c>
      <c r="D22" s="157">
        <f>'[3]2.2'!C22</f>
        <v>27771000</v>
      </c>
      <c r="E22" s="157">
        <f>'[3]2.2'!D22</f>
        <v>30224000</v>
      </c>
      <c r="F22" s="116">
        <f t="shared" si="4"/>
        <v>1.0883295524107883</v>
      </c>
      <c r="G22" s="210">
        <f t="shared" si="5"/>
        <v>27</v>
      </c>
      <c r="H22" s="116" cm="1">
        <f t="array" ref="H22">TREND(F21:F22,C21:C22,G22)</f>
        <v>1.077180378472729</v>
      </c>
      <c r="N22" s="2"/>
      <c r="O22" s="37">
        <f>'2.4a'!L$22</f>
        <v>45199</v>
      </c>
      <c r="P22" s="37">
        <f>'2.4a'!M$22</f>
        <v>45291</v>
      </c>
    </row>
    <row r="23" spans="1:16" x14ac:dyDescent="0.2">
      <c r="A23" t="str">
        <f>TEXT(YEAR($O$22),"#")</f>
        <v>2023</v>
      </c>
      <c r="B23" s="23"/>
      <c r="C23" s="11">
        <v>12</v>
      </c>
      <c r="D23" s="157">
        <f>'[3]2.2'!C23</f>
        <v>57766000</v>
      </c>
      <c r="E23" s="157">
        <f>'[3]2.2'!D23</f>
        <v>76706000</v>
      </c>
      <c r="F23" s="116">
        <f t="shared" si="4"/>
        <v>1.3278745282692241</v>
      </c>
      <c r="G23" s="210">
        <f>C23+3</f>
        <v>15</v>
      </c>
      <c r="H23" s="116" cm="1">
        <f t="array" ref="H23">TREND(F22:F23,C22:C23,G23)</f>
        <v>1.2679882843046151</v>
      </c>
      <c r="N23" s="2"/>
      <c r="O23" s="37"/>
      <c r="P23" s="37"/>
    </row>
    <row r="24" spans="1:16" ht="12" thickBot="1" x14ac:dyDescent="0.25">
      <c r="A24" s="6"/>
      <c r="B24" s="6"/>
      <c r="C24" s="6"/>
      <c r="D24" s="6"/>
      <c r="E24" s="6"/>
      <c r="F24" s="6"/>
      <c r="G24" s="6"/>
      <c r="H24" s="6"/>
      <c r="N24" s="2"/>
    </row>
    <row r="25" spans="1:16" ht="12" thickTop="1" x14ac:dyDescent="0.2">
      <c r="N25" s="2"/>
    </row>
    <row r="26" spans="1:16" x14ac:dyDescent="0.2">
      <c r="A26" t="s">
        <v>17</v>
      </c>
      <c r="N26" s="2"/>
    </row>
    <row r="27" spans="1:16" x14ac:dyDescent="0.2">
      <c r="B27" s="12" t="str">
        <f>D12&amp;" Based on TWIA "&amp;TEXT(YEAR(P22),"#")&amp;" Annual Statement"</f>
        <v>(3) Based on TWIA 2023 Annual Statement</v>
      </c>
      <c r="C27" s="12"/>
      <c r="N27" s="2"/>
    </row>
    <row r="28" spans="1:16" x14ac:dyDescent="0.2">
      <c r="B28" s="12" t="str">
        <f>E12&amp;" Based on TWIA "&amp;TEXT(YEAR(P22),"#")&amp;" Annual Statement"</f>
        <v>(4) Based on TWIA 2023 Annual Statement</v>
      </c>
      <c r="C28" s="12"/>
      <c r="N28" s="2"/>
    </row>
    <row r="29" spans="1:16" x14ac:dyDescent="0.2">
      <c r="B29" s="12" t="str">
        <f>F12&amp;" = "&amp;E12&amp;" / "&amp;D12</f>
        <v>(5) = (4) / (3)</v>
      </c>
      <c r="C29" s="12"/>
      <c r="D29" s="12"/>
      <c r="E29" s="12"/>
      <c r="F29" s="12"/>
      <c r="G29" s="12"/>
      <c r="H29" s="12"/>
      <c r="N29" s="2"/>
    </row>
    <row r="30" spans="1:16" x14ac:dyDescent="0.2">
      <c r="B30" s="12" t="str">
        <f>H12&amp;" "&amp;"Interpolated based on "&amp;F12</f>
        <v>(7) Interpolated based on (5)</v>
      </c>
      <c r="E30" s="12"/>
      <c r="F30" s="12"/>
      <c r="G30" s="12"/>
      <c r="H30" s="12"/>
      <c r="N30" s="2"/>
    </row>
    <row r="31" spans="1:16" x14ac:dyDescent="0.2">
      <c r="B31" s="12"/>
      <c r="C31" s="12"/>
      <c r="D31" s="12"/>
      <c r="E31" s="12"/>
      <c r="F31" s="12"/>
      <c r="G31" s="12"/>
      <c r="H31" s="12"/>
      <c r="N31" s="2"/>
    </row>
    <row r="32" spans="1:16" x14ac:dyDescent="0.2">
      <c r="B32" s="12"/>
      <c r="C32" s="12"/>
      <c r="D32" s="12"/>
      <c r="N32" s="2"/>
    </row>
    <row r="33" spans="2:14" x14ac:dyDescent="0.2">
      <c r="B33" s="12"/>
      <c r="C33" s="12"/>
      <c r="D33" s="12"/>
      <c r="E33" s="12"/>
      <c r="F33" s="12"/>
      <c r="G33" s="12"/>
      <c r="H33" s="12"/>
      <c r="N33" s="2"/>
    </row>
    <row r="34" spans="2:14" x14ac:dyDescent="0.2">
      <c r="B34" s="23"/>
      <c r="C34" s="23"/>
      <c r="D34" s="23"/>
      <c r="E34" s="23"/>
      <c r="F34" s="23"/>
      <c r="G34" s="23"/>
      <c r="H34" s="23"/>
      <c r="N34" s="2"/>
    </row>
    <row r="35" spans="2:14" x14ac:dyDescent="0.2">
      <c r="B35" s="12"/>
      <c r="C35" s="12"/>
      <c r="D35" s="12"/>
      <c r="E35" s="12"/>
      <c r="F35" s="12"/>
      <c r="G35" s="12"/>
      <c r="H35" s="12"/>
      <c r="N35" s="2"/>
    </row>
    <row r="36" spans="2:14" x14ac:dyDescent="0.2">
      <c r="B36" s="12"/>
      <c r="C36" s="12"/>
      <c r="D36" s="12"/>
      <c r="E36" s="12"/>
      <c r="F36" s="12"/>
      <c r="G36" s="12"/>
      <c r="H36" s="12"/>
      <c r="N36" s="2"/>
    </row>
    <row r="37" spans="2:14" x14ac:dyDescent="0.2">
      <c r="B37" s="23"/>
      <c r="C37" s="23"/>
      <c r="D37" s="23"/>
      <c r="E37" s="23"/>
      <c r="F37" s="23"/>
      <c r="G37" s="23"/>
      <c r="H37" s="23"/>
      <c r="N37" s="2"/>
    </row>
    <row r="38" spans="2:14" x14ac:dyDescent="0.2">
      <c r="N38" s="2"/>
    </row>
    <row r="39" spans="2:14" x14ac:dyDescent="0.2">
      <c r="N39" s="2"/>
    </row>
    <row r="40" spans="2:14" x14ac:dyDescent="0.2">
      <c r="N40" s="2"/>
    </row>
    <row r="41" spans="2:14" x14ac:dyDescent="0.2">
      <c r="N41" s="2"/>
    </row>
    <row r="42" spans="2:14" x14ac:dyDescent="0.2">
      <c r="N42" s="2"/>
    </row>
    <row r="43" spans="2:14" x14ac:dyDescent="0.2">
      <c r="N43" s="2"/>
    </row>
    <row r="44" spans="2:14" x14ac:dyDescent="0.2">
      <c r="N44" s="2"/>
    </row>
    <row r="45" spans="2:14" x14ac:dyDescent="0.2">
      <c r="N45" s="2"/>
    </row>
    <row r="46" spans="2:14" x14ac:dyDescent="0.2">
      <c r="N46" s="2"/>
    </row>
    <row r="47" spans="2:14" x14ac:dyDescent="0.2">
      <c r="N47" s="2"/>
    </row>
    <row r="48" spans="2:14" x14ac:dyDescent="0.2">
      <c r="N48" s="2"/>
    </row>
    <row r="49" spans="14:14" x14ac:dyDescent="0.2">
      <c r="N49" s="2"/>
    </row>
    <row r="50" spans="14:14" x14ac:dyDescent="0.2">
      <c r="N50" s="2"/>
    </row>
    <row r="51" spans="14:14" x14ac:dyDescent="0.2">
      <c r="N51" s="2"/>
    </row>
    <row r="52" spans="14:14" x14ac:dyDescent="0.2">
      <c r="N52" s="2"/>
    </row>
    <row r="53" spans="14:14" x14ac:dyDescent="0.2">
      <c r="N53" s="2"/>
    </row>
    <row r="54" spans="14:14" x14ac:dyDescent="0.2">
      <c r="N54" s="2"/>
    </row>
    <row r="55" spans="14:14" x14ac:dyDescent="0.2">
      <c r="N55" s="2"/>
    </row>
    <row r="56" spans="14:14" x14ac:dyDescent="0.2">
      <c r="N56" s="2"/>
    </row>
    <row r="57" spans="14:14" x14ac:dyDescent="0.2">
      <c r="N57" s="2"/>
    </row>
    <row r="58" spans="14:14" x14ac:dyDescent="0.2">
      <c r="N58" s="2"/>
    </row>
    <row r="59" spans="14:14" x14ac:dyDescent="0.2">
      <c r="N59" s="2"/>
    </row>
    <row r="60" spans="14:14" x14ac:dyDescent="0.2">
      <c r="N60" s="2"/>
    </row>
    <row r="61" spans="14:14" x14ac:dyDescent="0.2">
      <c r="N61" s="2"/>
    </row>
    <row r="62" spans="14:14" x14ac:dyDescent="0.2">
      <c r="N62" s="2"/>
    </row>
    <row r="63" spans="14:14" x14ac:dyDescent="0.2">
      <c r="N63" s="2"/>
    </row>
    <row r="64" spans="14:14" x14ac:dyDescent="0.2">
      <c r="N64" s="2"/>
    </row>
    <row r="65" spans="1:14" x14ac:dyDescent="0.2">
      <c r="N65" s="2"/>
    </row>
    <row r="66" spans="1:14" x14ac:dyDescent="0.2">
      <c r="N66" s="2"/>
    </row>
    <row r="67" spans="1:14" x14ac:dyDescent="0.2">
      <c r="N67" s="2"/>
    </row>
    <row r="68" spans="1:14" ht="12" thickBot="1" x14ac:dyDescent="0.25">
      <c r="N68" s="2"/>
    </row>
    <row r="69" spans="1:14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7AA6-6CF7-499F-B5E2-CAA5BFC6F03A}">
  <sheetPr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56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51</v>
      </c>
      <c r="B4" s="12"/>
      <c r="K4" s="2"/>
    </row>
    <row r="5" spans="1:12" x14ac:dyDescent="0.2">
      <c r="A5" t="s">
        <v>31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1" t="s">
        <v>288</v>
      </c>
      <c r="D9" s="11"/>
      <c r="E9" s="11" t="s">
        <v>34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55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5" t="s">
        <v>54</v>
      </c>
      <c r="D11" s="125" t="s">
        <v>36</v>
      </c>
      <c r="E11" s="125" t="s">
        <v>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2014</v>
      </c>
      <c r="B14" s="23"/>
      <c r="C14" s="19">
        <f>'2.4a'!C14</f>
        <v>520624</v>
      </c>
      <c r="D14" s="29">
        <f>'2.3a'!H14</f>
        <v>1</v>
      </c>
      <c r="E14" s="26">
        <f t="shared" ref="E14:E23" si="1">ROUND(C14*D14,0)</f>
        <v>520624</v>
      </c>
      <c r="K14" s="2"/>
    </row>
    <row r="15" spans="1:12" x14ac:dyDescent="0.2">
      <c r="A15" t="str">
        <f t="shared" si="0"/>
        <v>2015</v>
      </c>
      <c r="B15" s="23"/>
      <c r="C15" s="19">
        <f>'2.4a'!C15</f>
        <v>17443601</v>
      </c>
      <c r="D15" s="29">
        <f>'2.3a'!H15</f>
        <v>1.0007516384637014</v>
      </c>
      <c r="E15" s="26">
        <f t="shared" si="1"/>
        <v>17456712</v>
      </c>
      <c r="K15" s="2"/>
    </row>
    <row r="16" spans="1:12" x14ac:dyDescent="0.2">
      <c r="A16" t="str">
        <f t="shared" si="0"/>
        <v>2016</v>
      </c>
      <c r="B16" s="23"/>
      <c r="C16" s="19">
        <f>'2.4a'!C16</f>
        <v>10985881</v>
      </c>
      <c r="D16" s="29">
        <f>'2.3a'!H16</f>
        <v>1.0002505461545672</v>
      </c>
      <c r="E16" s="26">
        <f t="shared" si="1"/>
        <v>10988633</v>
      </c>
      <c r="K16" s="2"/>
    </row>
    <row r="17" spans="1:13" x14ac:dyDescent="0.2">
      <c r="A17" t="str">
        <f t="shared" si="0"/>
        <v>2017</v>
      </c>
      <c r="B17" s="23"/>
      <c r="C17" s="19">
        <f>'2.4a'!C17</f>
        <v>2709595</v>
      </c>
      <c r="D17" s="29">
        <f>'2.3a'!H17</f>
        <v>1.0043054820642354</v>
      </c>
      <c r="E17" s="26">
        <f t="shared" si="1"/>
        <v>2721261</v>
      </c>
      <c r="K17" s="2"/>
    </row>
    <row r="18" spans="1:13" x14ac:dyDescent="0.2">
      <c r="A18" t="str">
        <f t="shared" si="0"/>
        <v>2018</v>
      </c>
      <c r="B18" s="23"/>
      <c r="C18" s="19">
        <f>'2.4a'!C18</f>
        <v>2551684</v>
      </c>
      <c r="D18" s="29">
        <f>'2.3a'!H18</f>
        <v>1.0020551491149612</v>
      </c>
      <c r="E18" s="26">
        <f t="shared" si="1"/>
        <v>2556928</v>
      </c>
      <c r="K18" s="2"/>
    </row>
    <row r="19" spans="1:13" x14ac:dyDescent="0.2">
      <c r="A19" t="str">
        <f t="shared" si="0"/>
        <v>2019</v>
      </c>
      <c r="B19" s="23"/>
      <c r="C19" s="19">
        <f>'2.4a'!C19</f>
        <v>4837299</v>
      </c>
      <c r="D19" s="29">
        <f>'2.3a'!H19</f>
        <v>1.0098340625590461</v>
      </c>
      <c r="E19" s="26">
        <f t="shared" si="1"/>
        <v>4884869</v>
      </c>
      <c r="K19" s="2"/>
    </row>
    <row r="20" spans="1:13" x14ac:dyDescent="0.2">
      <c r="A20" t="str">
        <f t="shared" si="0"/>
        <v>2020</v>
      </c>
      <c r="B20" s="23"/>
      <c r="C20" s="19">
        <f>'2.4a'!C20</f>
        <v>5567455</v>
      </c>
      <c r="D20" s="29">
        <f>'2.3a'!H20</f>
        <v>1.0150627666463521</v>
      </c>
      <c r="E20" s="26">
        <f t="shared" si="1"/>
        <v>5651316</v>
      </c>
      <c r="K20" s="2"/>
    </row>
    <row r="21" spans="1:13" x14ac:dyDescent="0.2">
      <c r="A21" t="str">
        <f t="shared" si="0"/>
        <v>2021</v>
      </c>
      <c r="B21" s="23"/>
      <c r="C21" s="19">
        <f>'2.4a'!C21</f>
        <v>24739860</v>
      </c>
      <c r="D21" s="29">
        <f>'2.3a'!H21</f>
        <v>1.036750853626021</v>
      </c>
      <c r="E21" s="26">
        <f t="shared" si="1"/>
        <v>25649071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9">
        <f>'2.4a'!C22</f>
        <v>11209499</v>
      </c>
      <c r="D22" s="29">
        <f>'2.3a'!H22</f>
        <v>1.077180378472729</v>
      </c>
      <c r="E22" s="26">
        <f t="shared" si="1"/>
        <v>12074652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9">
        <f>'2.4a'!C23</f>
        <v>26600326</v>
      </c>
      <c r="D23" s="29">
        <f>'2.3a'!H23</f>
        <v>1.2679882843046151</v>
      </c>
      <c r="E23" s="26">
        <f t="shared" si="1"/>
        <v>33728902</v>
      </c>
      <c r="K23" s="2"/>
      <c r="L23" s="37"/>
      <c r="M23" s="37"/>
    </row>
    <row r="24" spans="1:13" x14ac:dyDescent="0.2">
      <c r="A24" s="9"/>
      <c r="B24" s="24"/>
      <c r="C24" s="25"/>
      <c r="D24" s="100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107165824</v>
      </c>
      <c r="E26" s="19">
        <f>SUM(E14:E24)</f>
        <v>116232968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"&amp;'2.4a'!$J$1&amp;", "&amp;'2.4a'!$J$2&amp;", as of "&amp;TEXT($M$22,"m/d/yy")</f>
        <v>(2) Exhibit 2, Sheet 4a, as of 12/31/23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51</v>
      </c>
      <c r="B4" s="12"/>
      <c r="K4" s="2"/>
    </row>
    <row r="5" spans="1:12" x14ac:dyDescent="0.2">
      <c r="A5" t="s">
        <v>44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1" t="s">
        <v>288</v>
      </c>
      <c r="D9" s="11"/>
      <c r="E9" s="11" t="s">
        <v>34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55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5" t="s">
        <v>54</v>
      </c>
      <c r="D11" s="125" t="s">
        <v>36</v>
      </c>
      <c r="E11" s="125" t="s">
        <v>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2014</v>
      </c>
      <c r="B14" s="23"/>
      <c r="C14" s="19">
        <f>'2.4b'!C14</f>
        <v>1618066</v>
      </c>
      <c r="D14" s="29">
        <f>'2.3a'!H14</f>
        <v>1</v>
      </c>
      <c r="E14" s="26">
        <f t="shared" ref="E14:E23" si="1">ROUND(C14*D14,0)</f>
        <v>1618066</v>
      </c>
      <c r="K14" s="2"/>
    </row>
    <row r="15" spans="1:12" x14ac:dyDescent="0.2">
      <c r="A15" t="str">
        <f t="shared" si="0"/>
        <v>2015</v>
      </c>
      <c r="B15" s="23"/>
      <c r="C15" s="19">
        <f>'2.4b'!C15</f>
        <v>9461279</v>
      </c>
      <c r="D15" s="29">
        <f>'2.3a'!H15</f>
        <v>1.0007516384637014</v>
      </c>
      <c r="E15" s="26">
        <f t="shared" si="1"/>
        <v>9468390</v>
      </c>
      <c r="K15" s="2"/>
    </row>
    <row r="16" spans="1:12" x14ac:dyDescent="0.2">
      <c r="A16" t="str">
        <f t="shared" si="0"/>
        <v>2016</v>
      </c>
      <c r="B16" s="23"/>
      <c r="C16" s="19">
        <f>'2.4b'!C16</f>
        <v>9531194</v>
      </c>
      <c r="D16" s="29">
        <f>'2.3a'!H16</f>
        <v>1.0002505461545672</v>
      </c>
      <c r="E16" s="26">
        <f t="shared" si="1"/>
        <v>9533582</v>
      </c>
      <c r="K16" s="2"/>
    </row>
    <row r="17" spans="1:13" x14ac:dyDescent="0.2">
      <c r="A17" t="str">
        <f t="shared" si="0"/>
        <v>2017</v>
      </c>
      <c r="B17" s="23"/>
      <c r="C17" s="19">
        <f>'2.4b'!C17</f>
        <v>7641292</v>
      </c>
      <c r="D17" s="29">
        <f>'2.3a'!H17</f>
        <v>1.0043054820642354</v>
      </c>
      <c r="E17" s="26">
        <f t="shared" si="1"/>
        <v>7674191</v>
      </c>
      <c r="K17" s="2"/>
    </row>
    <row r="18" spans="1:13" x14ac:dyDescent="0.2">
      <c r="A18" t="str">
        <f t="shared" si="0"/>
        <v>2018</v>
      </c>
      <c r="B18" s="23"/>
      <c r="C18" s="19">
        <f>'2.4b'!C18</f>
        <v>1114022</v>
      </c>
      <c r="D18" s="29">
        <f>'2.3a'!H18</f>
        <v>1.0020551491149612</v>
      </c>
      <c r="E18" s="26">
        <f t="shared" si="1"/>
        <v>1116311</v>
      </c>
      <c r="K18" s="2"/>
    </row>
    <row r="19" spans="1:13" x14ac:dyDescent="0.2">
      <c r="A19" t="str">
        <f t="shared" si="0"/>
        <v>2019</v>
      </c>
      <c r="B19" s="23"/>
      <c r="C19" s="19">
        <f>'2.4b'!C19</f>
        <v>832616</v>
      </c>
      <c r="D19" s="29">
        <f>'2.3a'!H19</f>
        <v>1.0098340625590461</v>
      </c>
      <c r="E19" s="26">
        <f t="shared" si="1"/>
        <v>840804</v>
      </c>
      <c r="K19" s="2"/>
    </row>
    <row r="20" spans="1:13" x14ac:dyDescent="0.2">
      <c r="A20" t="str">
        <f t="shared" si="0"/>
        <v>2020</v>
      </c>
      <c r="B20" s="23"/>
      <c r="C20" s="19">
        <f>'2.4b'!C20</f>
        <v>476739</v>
      </c>
      <c r="D20" s="29">
        <f>'2.3a'!H20</f>
        <v>1.0150627666463521</v>
      </c>
      <c r="E20" s="26">
        <f t="shared" si="1"/>
        <v>483920</v>
      </c>
      <c r="K20" s="2"/>
    </row>
    <row r="21" spans="1:13" x14ac:dyDescent="0.2">
      <c r="A21" t="str">
        <f t="shared" si="0"/>
        <v>2021</v>
      </c>
      <c r="B21" s="23"/>
      <c r="C21" s="19">
        <f>'2.4b'!C21</f>
        <v>760300</v>
      </c>
      <c r="D21" s="29">
        <f>'2.3a'!H21</f>
        <v>1.036750853626021</v>
      </c>
      <c r="E21" s="26">
        <f t="shared" si="1"/>
        <v>788242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9">
        <f>'2.4b'!C22</f>
        <v>1122593</v>
      </c>
      <c r="D22" s="29">
        <f>'2.3a'!H22</f>
        <v>1.077180378472729</v>
      </c>
      <c r="E22" s="26">
        <f t="shared" si="1"/>
        <v>1209235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9">
        <f>'2.4b'!C23</f>
        <v>1235567</v>
      </c>
      <c r="D23" s="29">
        <f>'2.3a'!H23</f>
        <v>1.2679882843046151</v>
      </c>
      <c r="E23" s="26">
        <f t="shared" si="1"/>
        <v>1566684</v>
      </c>
      <c r="K23" s="2"/>
      <c r="L23" s="37"/>
      <c r="M23" s="37"/>
    </row>
    <row r="24" spans="1:13" x14ac:dyDescent="0.2">
      <c r="A24" s="9"/>
      <c r="B24" s="24"/>
      <c r="C24" s="25"/>
      <c r="D24" s="100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33793668</v>
      </c>
      <c r="E26" s="19">
        <f>SUM(E14:E24)</f>
        <v>34299425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"&amp;'2.4b'!$J$1&amp;", "&amp;'2.4b'!$J$2&amp;", as of "&amp;TEXT($M$22,"m/d/yy")</f>
        <v>(2) Exhibit 2, Sheet 4b, as of 12/31/23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51</v>
      </c>
      <c r="B4" s="12"/>
      <c r="K4" s="2"/>
    </row>
    <row r="5" spans="1:12" x14ac:dyDescent="0.2">
      <c r="A5" t="s">
        <v>46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1" t="s">
        <v>288</v>
      </c>
      <c r="D9" s="11"/>
      <c r="E9" s="11" t="s">
        <v>34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55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5" t="s">
        <v>54</v>
      </c>
      <c r="D11" s="125" t="s">
        <v>36</v>
      </c>
      <c r="E11" s="125" t="s">
        <v>40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2014</v>
      </c>
      <c r="B14" s="23"/>
      <c r="C14" s="19">
        <f>'2.4c'!C14</f>
        <v>2847173</v>
      </c>
      <c r="D14" s="29">
        <f>'2.3a'!H14</f>
        <v>1</v>
      </c>
      <c r="E14" s="26">
        <f t="shared" ref="E14:E23" si="1">ROUND(C14*D14,0)</f>
        <v>2847173</v>
      </c>
      <c r="K14" s="2"/>
    </row>
    <row r="15" spans="1:12" x14ac:dyDescent="0.2">
      <c r="A15" t="str">
        <f t="shared" si="0"/>
        <v>2015</v>
      </c>
      <c r="B15" s="23"/>
      <c r="C15" s="19">
        <f>'2.4c'!C15</f>
        <v>86469178</v>
      </c>
      <c r="D15" s="29">
        <f>'2.3a'!H15</f>
        <v>1.0007516384637014</v>
      </c>
      <c r="E15" s="26">
        <f t="shared" si="1"/>
        <v>86534172</v>
      </c>
      <c r="K15" s="2"/>
    </row>
    <row r="16" spans="1:12" x14ac:dyDescent="0.2">
      <c r="A16" t="str">
        <f t="shared" si="0"/>
        <v>2016</v>
      </c>
      <c r="B16" s="23"/>
      <c r="C16" s="19">
        <f>'2.4c'!C16</f>
        <v>12167890</v>
      </c>
      <c r="D16" s="29">
        <f>'2.3a'!H16</f>
        <v>1.0002505461545672</v>
      </c>
      <c r="E16" s="26">
        <f t="shared" si="1"/>
        <v>12170939</v>
      </c>
      <c r="K16" s="2"/>
    </row>
    <row r="17" spans="1:13" x14ac:dyDescent="0.2">
      <c r="A17" t="str">
        <f t="shared" si="0"/>
        <v>2017</v>
      </c>
      <c r="B17" s="23"/>
      <c r="C17" s="19">
        <f>'2.4c'!C17</f>
        <v>21824214</v>
      </c>
      <c r="D17" s="29">
        <f>'2.3a'!H17</f>
        <v>1.0043054820642354</v>
      </c>
      <c r="E17" s="26">
        <f t="shared" si="1"/>
        <v>21918178</v>
      </c>
      <c r="K17" s="2"/>
    </row>
    <row r="18" spans="1:13" x14ac:dyDescent="0.2">
      <c r="A18" t="str">
        <f t="shared" si="0"/>
        <v>2018</v>
      </c>
      <c r="B18" s="23"/>
      <c r="C18" s="19">
        <f>'2.4c'!C18</f>
        <v>6765244</v>
      </c>
      <c r="D18" s="29">
        <f>'2.3a'!H18</f>
        <v>1.0020551491149612</v>
      </c>
      <c r="E18" s="26">
        <f t="shared" si="1"/>
        <v>6779148</v>
      </c>
      <c r="K18" s="2"/>
    </row>
    <row r="19" spans="1:13" x14ac:dyDescent="0.2">
      <c r="A19" t="str">
        <f t="shared" si="0"/>
        <v>2019</v>
      </c>
      <c r="B19" s="23"/>
      <c r="C19" s="19">
        <f>'2.4c'!C19</f>
        <v>10108613</v>
      </c>
      <c r="D19" s="29">
        <f>'2.3a'!H19</f>
        <v>1.0098340625590461</v>
      </c>
      <c r="E19" s="26">
        <f t="shared" si="1"/>
        <v>10208022</v>
      </c>
      <c r="K19" s="2"/>
    </row>
    <row r="20" spans="1:13" x14ac:dyDescent="0.2">
      <c r="A20" t="str">
        <f t="shared" si="0"/>
        <v>2020</v>
      </c>
      <c r="B20" s="23"/>
      <c r="C20" s="19">
        <f>'2.4c'!C20</f>
        <v>21713126</v>
      </c>
      <c r="D20" s="29">
        <f>'2.3a'!H20</f>
        <v>1.0150627666463521</v>
      </c>
      <c r="E20" s="26">
        <f t="shared" si="1"/>
        <v>22040186</v>
      </c>
      <c r="K20" s="2"/>
    </row>
    <row r="21" spans="1:13" x14ac:dyDescent="0.2">
      <c r="A21" t="str">
        <f t="shared" si="0"/>
        <v>2021</v>
      </c>
      <c r="B21" s="23"/>
      <c r="C21" s="19">
        <f>'2.4c'!C21</f>
        <v>29253796</v>
      </c>
      <c r="D21" s="29">
        <f>'2.3a'!H21</f>
        <v>1.036750853626021</v>
      </c>
      <c r="E21" s="26">
        <f t="shared" si="1"/>
        <v>30328898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9">
        <f>'2.4c'!C22</f>
        <v>12254832</v>
      </c>
      <c r="D22" s="29">
        <f>'2.3a'!H22</f>
        <v>1.077180378472729</v>
      </c>
      <c r="E22" s="26">
        <f t="shared" si="1"/>
        <v>13200665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9">
        <f>'2.4c'!C23</f>
        <v>25757901</v>
      </c>
      <c r="D23" s="29">
        <f>'2.3a'!H23</f>
        <v>1.2679882843046151</v>
      </c>
      <c r="E23" s="26">
        <f t="shared" si="1"/>
        <v>32660717</v>
      </c>
      <c r="K23" s="2"/>
      <c r="L23" s="37"/>
      <c r="M23" s="37"/>
    </row>
    <row r="24" spans="1:13" x14ac:dyDescent="0.2">
      <c r="A24" s="9"/>
      <c r="B24" s="24"/>
      <c r="C24" s="25"/>
      <c r="D24" s="100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229161967</v>
      </c>
      <c r="E26" s="19">
        <f>SUM(E14:E24)</f>
        <v>238688098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"&amp;'2.4c'!$J$1&amp;", "&amp;'2.4c'!$J$2&amp;", as of "&amp;TEXT($M$22,"m/d/yy")</f>
        <v>(2) Exhibit 2, Sheet 4c, as of 12/31/23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435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51</v>
      </c>
      <c r="B4" s="12"/>
      <c r="K4" s="2"/>
    </row>
    <row r="5" spans="1:12" x14ac:dyDescent="0.2">
      <c r="A5" t="s">
        <v>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52</v>
      </c>
      <c r="K8" s="2"/>
    </row>
    <row r="9" spans="1:12" x14ac:dyDescent="0.2">
      <c r="A9" t="s">
        <v>53</v>
      </c>
      <c r="C9" s="11" t="s">
        <v>288</v>
      </c>
      <c r="D9" s="11"/>
      <c r="E9" s="11" t="s">
        <v>34</v>
      </c>
      <c r="K9" s="2"/>
      <c r="L9" s="17"/>
    </row>
    <row r="10" spans="1:12" x14ac:dyDescent="0.2">
      <c r="A10" t="s">
        <v>33</v>
      </c>
      <c r="C10" s="11" t="s">
        <v>8</v>
      </c>
      <c r="D10" s="11" t="s">
        <v>55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5" t="s">
        <v>54</v>
      </c>
      <c r="D11" s="125" t="s">
        <v>36</v>
      </c>
      <c r="E11" s="125" t="s">
        <v>40</v>
      </c>
      <c r="K11" s="2"/>
    </row>
    <row r="12" spans="1:12" x14ac:dyDescent="0.2">
      <c r="A12" s="7" t="str">
        <f>TEXT(COLUMN(),"(#)")</f>
        <v>(1)</v>
      </c>
      <c r="B12" s="7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2014</v>
      </c>
      <c r="B14" s="23"/>
      <c r="C14" s="19">
        <f>'2.4d'!C14</f>
        <v>30748</v>
      </c>
      <c r="D14" s="29">
        <f>'2.3a'!H14</f>
        <v>1</v>
      </c>
      <c r="E14" s="26">
        <f>ROUND(C14*D14,0)</f>
        <v>30748</v>
      </c>
      <c r="K14" s="2"/>
    </row>
    <row r="15" spans="1:12" x14ac:dyDescent="0.2">
      <c r="A15" t="str">
        <f t="shared" si="0"/>
        <v>2015</v>
      </c>
      <c r="B15" s="23"/>
      <c r="C15" s="19">
        <f>'2.4d'!C15</f>
        <v>339352</v>
      </c>
      <c r="D15" s="29">
        <f>'2.3a'!H15</f>
        <v>1.0007516384637014</v>
      </c>
      <c r="E15" s="26">
        <f t="shared" ref="E15:E22" si="1">ROUND(C15*D15,0)</f>
        <v>339607</v>
      </c>
      <c r="K15" s="2"/>
    </row>
    <row r="16" spans="1:12" x14ac:dyDescent="0.2">
      <c r="A16" t="str">
        <f t="shared" si="0"/>
        <v>2016</v>
      </c>
      <c r="B16" s="23"/>
      <c r="C16" s="19">
        <f>'2.4d'!C16</f>
        <v>446449</v>
      </c>
      <c r="D16" s="29">
        <f>'2.3a'!H16</f>
        <v>1.0002505461545672</v>
      </c>
      <c r="E16" s="26">
        <f t="shared" si="1"/>
        <v>446561</v>
      </c>
      <c r="K16" s="2"/>
    </row>
    <row r="17" spans="1:13" x14ac:dyDescent="0.2">
      <c r="A17" t="str">
        <f t="shared" si="0"/>
        <v>2017</v>
      </c>
      <c r="B17" s="23"/>
      <c r="C17" s="19">
        <f>'2.4d'!C17</f>
        <v>481121</v>
      </c>
      <c r="D17" s="29">
        <f>'2.3a'!H17</f>
        <v>1.0043054820642354</v>
      </c>
      <c r="E17" s="26">
        <f t="shared" si="1"/>
        <v>483192</v>
      </c>
      <c r="K17" s="2"/>
    </row>
    <row r="18" spans="1:13" x14ac:dyDescent="0.2">
      <c r="A18" t="str">
        <f t="shared" si="0"/>
        <v>2018</v>
      </c>
      <c r="B18" s="23"/>
      <c r="C18" s="19">
        <f>'2.4d'!C18</f>
        <v>282709</v>
      </c>
      <c r="D18" s="29">
        <f>'2.3a'!H18</f>
        <v>1.0020551491149612</v>
      </c>
      <c r="E18" s="26">
        <f t="shared" si="1"/>
        <v>283290</v>
      </c>
      <c r="K18" s="2"/>
    </row>
    <row r="19" spans="1:13" x14ac:dyDescent="0.2">
      <c r="A19" t="str">
        <f t="shared" si="0"/>
        <v>2019</v>
      </c>
      <c r="B19" s="23"/>
      <c r="C19" s="19">
        <f>'2.4d'!C19</f>
        <v>2701499</v>
      </c>
      <c r="D19" s="29">
        <f>'2.3a'!H19</f>
        <v>1.0098340625590461</v>
      </c>
      <c r="E19" s="26">
        <f t="shared" si="1"/>
        <v>2728066</v>
      </c>
      <c r="K19" s="2"/>
    </row>
    <row r="20" spans="1:13" x14ac:dyDescent="0.2">
      <c r="A20" t="str">
        <f t="shared" si="0"/>
        <v>2020</v>
      </c>
      <c r="B20" s="23"/>
      <c r="C20" s="19">
        <f>'2.4d'!C20</f>
        <v>449893</v>
      </c>
      <c r="D20" s="29">
        <f>'2.3a'!H20</f>
        <v>1.0150627666463521</v>
      </c>
      <c r="E20" s="26">
        <f t="shared" si="1"/>
        <v>456670</v>
      </c>
      <c r="K20" s="2"/>
    </row>
    <row r="21" spans="1:13" x14ac:dyDescent="0.2">
      <c r="A21" t="str">
        <f t="shared" si="0"/>
        <v>2021</v>
      </c>
      <c r="B21" s="23"/>
      <c r="C21" s="19">
        <f>'2.4d'!C21</f>
        <v>2052668</v>
      </c>
      <c r="D21" s="29">
        <f>'2.3a'!H21</f>
        <v>1.036750853626021</v>
      </c>
      <c r="E21" s="26">
        <f t="shared" si="1"/>
        <v>2128105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9">
        <f>'2.4d'!C22</f>
        <v>675864</v>
      </c>
      <c r="D22" s="29">
        <f>'2.3a'!H22</f>
        <v>1.077180378472729</v>
      </c>
      <c r="E22" s="26">
        <f t="shared" si="1"/>
        <v>728027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9">
        <f>'2.4d'!C23</f>
        <v>3764430</v>
      </c>
      <c r="D23" s="29">
        <f>'2.3a'!H23</f>
        <v>1.2679882843046151</v>
      </c>
      <c r="E23" s="26">
        <f>ROUND(C23*D23,0)</f>
        <v>4773253</v>
      </c>
      <c r="K23" s="2"/>
      <c r="L23" s="37"/>
      <c r="M23" s="37"/>
    </row>
    <row r="24" spans="1:13" x14ac:dyDescent="0.2">
      <c r="A24" s="9"/>
      <c r="B24" s="24"/>
      <c r="C24" s="25"/>
      <c r="D24" s="100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11224733</v>
      </c>
      <c r="E26" s="19">
        <f>SUM(E14:E23)</f>
        <v>12397519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"&amp;'2.4d'!$J$1&amp;", "&amp;'2.4d'!$J$2&amp;", as of "&amp;TEXT($M$22,"m/d/yy")</f>
        <v>(2) Exhibit 2, Sheet 4d, as of 12/31/23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G35" t="s">
        <v>293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FF0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369</v>
      </c>
      <c r="P1" t="s">
        <v>405</v>
      </c>
    </row>
    <row r="2" spans="1:16" x14ac:dyDescent="0.2">
      <c r="A2" s="8" t="str">
        <f>'1'!$A$2</f>
        <v>Residential Property - Wind &amp; Hail</v>
      </c>
      <c r="B2" s="12"/>
      <c r="J2" s="7" t="s">
        <v>60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12/31/23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104"/>
      <c r="D7" s="6"/>
      <c r="E7" s="6"/>
      <c r="K7" s="2"/>
    </row>
    <row r="8" spans="1:16" ht="12" thickTop="1" x14ac:dyDescent="0.2">
      <c r="A8" t="s">
        <v>52</v>
      </c>
      <c r="K8" s="2"/>
    </row>
    <row r="9" spans="1:16" x14ac:dyDescent="0.2">
      <c r="A9" t="s">
        <v>53</v>
      </c>
      <c r="C9" s="10" t="s">
        <v>59</v>
      </c>
      <c r="K9" s="2"/>
      <c r="L9" s="17"/>
    </row>
    <row r="10" spans="1:16" x14ac:dyDescent="0.2">
      <c r="A10" t="s">
        <v>33</v>
      </c>
      <c r="C10"/>
      <c r="K10" s="2"/>
    </row>
    <row r="11" spans="1:16" x14ac:dyDescent="0.2">
      <c r="A11" s="9" t="str">
        <f>TEXT($L$22,"m/d")</f>
        <v>9/30</v>
      </c>
      <c r="B11" s="9"/>
      <c r="C11" s="125" t="s">
        <v>8</v>
      </c>
      <c r="D11" s="125" t="s">
        <v>6</v>
      </c>
      <c r="E11" s="125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C13"/>
      <c r="K13" s="2"/>
    </row>
    <row r="14" spans="1:16" x14ac:dyDescent="0.2">
      <c r="A14" t="str">
        <f t="shared" ref="A14:A22" si="0">TEXT(A15-1,"#")</f>
        <v>2014</v>
      </c>
      <c r="B14" s="23"/>
      <c r="C14" s="157">
        <f>ROUND('[2]TICO 3'!X29,0)</f>
        <v>520624</v>
      </c>
      <c r="D14" s="157">
        <f>ROUND('[2]TICO 3'!S29,0)</f>
        <v>0</v>
      </c>
      <c r="E14" s="26">
        <f t="shared" ref="E14:E23" si="1">C14+D14</f>
        <v>520624</v>
      </c>
      <c r="K14" s="2"/>
    </row>
    <row r="15" spans="1:16" x14ac:dyDescent="0.2">
      <c r="A15" t="str">
        <f t="shared" si="0"/>
        <v>2015</v>
      </c>
      <c r="B15" s="23"/>
      <c r="C15" s="157">
        <f>ROUND('[2]TICO 3'!X30,0)</f>
        <v>17443601</v>
      </c>
      <c r="D15" s="157">
        <f>ROUND('[2]TICO 3'!S30,0)</f>
        <v>0</v>
      </c>
      <c r="E15" s="26">
        <f t="shared" si="1"/>
        <v>17443601</v>
      </c>
      <c r="K15" s="2"/>
    </row>
    <row r="16" spans="1:16" x14ac:dyDescent="0.2">
      <c r="A16" t="str">
        <f t="shared" si="0"/>
        <v>2016</v>
      </c>
      <c r="B16" s="23"/>
      <c r="C16" s="157">
        <f>ROUND('[2]TICO 3'!X31,0)</f>
        <v>10985881</v>
      </c>
      <c r="D16" s="157">
        <f>ROUND('[2]TICO 3'!S31,0)</f>
        <v>0</v>
      </c>
      <c r="E16" s="26">
        <f t="shared" si="1"/>
        <v>10985881</v>
      </c>
      <c r="K16" s="2"/>
    </row>
    <row r="17" spans="1:13" x14ac:dyDescent="0.2">
      <c r="A17" t="str">
        <f t="shared" si="0"/>
        <v>2017</v>
      </c>
      <c r="B17" s="23"/>
      <c r="C17" s="157">
        <f>ROUND('[2]TICO 3'!X32,0)</f>
        <v>2709595</v>
      </c>
      <c r="D17" s="157">
        <f>ROUND('[2]TICO 3'!S32,0)</f>
        <v>35490978</v>
      </c>
      <c r="E17" s="26">
        <f t="shared" si="1"/>
        <v>38200573</v>
      </c>
      <c r="K17" s="2"/>
    </row>
    <row r="18" spans="1:13" x14ac:dyDescent="0.2">
      <c r="A18" t="str">
        <f t="shared" si="0"/>
        <v>2018</v>
      </c>
      <c r="B18" s="23"/>
      <c r="C18" s="157">
        <f>ROUND('[2]TICO 3'!X33,0)</f>
        <v>2551684</v>
      </c>
      <c r="D18" s="157">
        <f>ROUND('[2]TICO 3'!S33,0)</f>
        <v>0</v>
      </c>
      <c r="E18" s="26">
        <f t="shared" si="1"/>
        <v>2551684</v>
      </c>
      <c r="K18" s="2"/>
    </row>
    <row r="19" spans="1:13" x14ac:dyDescent="0.2">
      <c r="A19" t="str">
        <f t="shared" si="0"/>
        <v>2019</v>
      </c>
      <c r="B19" s="23"/>
      <c r="C19" s="157">
        <f>ROUND('[2]TICO 3'!X34,0)</f>
        <v>4837299</v>
      </c>
      <c r="D19" s="157">
        <f>ROUND('[2]TICO 3'!S34,0)</f>
        <v>0</v>
      </c>
      <c r="E19" s="26">
        <f t="shared" si="1"/>
        <v>4837299</v>
      </c>
      <c r="K19" s="2"/>
    </row>
    <row r="20" spans="1:13" x14ac:dyDescent="0.2">
      <c r="A20" t="str">
        <f t="shared" si="0"/>
        <v>2020</v>
      </c>
      <c r="B20" s="23"/>
      <c r="C20" s="157">
        <f>ROUND('[2]TICO 3'!X35,0)</f>
        <v>5567455</v>
      </c>
      <c r="D20" s="157">
        <f>ROUND('[2]TICO 3'!S35,0)</f>
        <v>30724</v>
      </c>
      <c r="E20" s="26">
        <f t="shared" si="1"/>
        <v>5598179</v>
      </c>
      <c r="K20" s="2"/>
    </row>
    <row r="21" spans="1:13" x14ac:dyDescent="0.2">
      <c r="A21" t="str">
        <f t="shared" si="0"/>
        <v>2021</v>
      </c>
      <c r="B21" s="23"/>
      <c r="C21" s="157">
        <f>ROUND('[2]TICO 3'!X36,0)</f>
        <v>24739860</v>
      </c>
      <c r="D21" s="157">
        <f>ROUND('[2]TICO 3'!S36,0)</f>
        <v>381777</v>
      </c>
      <c r="E21" s="26">
        <f t="shared" si="1"/>
        <v>25121637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57">
        <f>ROUND('[2]TICO 3'!X37,0)</f>
        <v>11209499</v>
      </c>
      <c r="D22" s="157">
        <f>ROUND('[2]TICO 3'!S37,0)</f>
        <v>0</v>
      </c>
      <c r="E22" s="26">
        <f t="shared" si="1"/>
        <v>11209499</v>
      </c>
      <c r="K22" s="2"/>
      <c r="L22" s="55">
        <f>'[2]TICO 3'!$E$1</f>
        <v>45199</v>
      </c>
      <c r="M22" s="55">
        <f>'[2]TICO 3'!$E$2</f>
        <v>45291</v>
      </c>
    </row>
    <row r="23" spans="1:13" x14ac:dyDescent="0.2">
      <c r="A23" t="str">
        <f>TEXT(YEAR($L$22),"#")</f>
        <v>2023</v>
      </c>
      <c r="B23" s="23"/>
      <c r="C23" s="157">
        <f>ROUND('[2]TICO 3'!X38,0)</f>
        <v>26600326</v>
      </c>
      <c r="D23" s="157">
        <f>ROUND('[2]TICO 3'!S38,0)</f>
        <v>0</v>
      </c>
      <c r="E23" s="26">
        <f t="shared" si="1"/>
        <v>26600326</v>
      </c>
      <c r="K23" s="2"/>
      <c r="L23" s="55"/>
      <c r="M23" s="55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107165824</v>
      </c>
      <c r="D26" s="19">
        <f>SUM(D14:D24)</f>
        <v>35903479</v>
      </c>
      <c r="E26" s="19">
        <f>SUM(E14:E24)</f>
        <v>143069303</v>
      </c>
      <c r="K26" s="2"/>
    </row>
    <row r="27" spans="1:13" ht="12" thickBot="1" x14ac:dyDescent="0.25">
      <c r="A27" s="6"/>
      <c r="B27" s="6"/>
      <c r="C27" s="104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B32" s="12"/>
      <c r="K32" s="2"/>
    </row>
    <row r="33" spans="2:11" x14ac:dyDescent="0.2">
      <c r="B33" s="12"/>
      <c r="K33" s="2"/>
    </row>
    <row r="34" spans="2:11" x14ac:dyDescent="0.2"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10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00FF0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369</v>
      </c>
      <c r="P1" t="s">
        <v>405</v>
      </c>
    </row>
    <row r="2" spans="1:16" x14ac:dyDescent="0.2">
      <c r="A2" s="8" t="str">
        <f>'1'!$A$2</f>
        <v>Residential Property - Wind &amp; Hail</v>
      </c>
      <c r="B2" s="12"/>
      <c r="J2" s="7" t="s">
        <v>61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12/31/23</v>
      </c>
      <c r="B4" s="12"/>
      <c r="K4" s="2"/>
    </row>
    <row r="5" spans="1:16" x14ac:dyDescent="0.2">
      <c r="A5" t="s">
        <v>44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A8" t="s">
        <v>52</v>
      </c>
      <c r="K8" s="2"/>
    </row>
    <row r="9" spans="1:16" x14ac:dyDescent="0.2">
      <c r="A9" t="s">
        <v>53</v>
      </c>
      <c r="C9" s="10" t="s">
        <v>59</v>
      </c>
      <c r="K9" s="2"/>
      <c r="L9" s="17"/>
    </row>
    <row r="10" spans="1:16" x14ac:dyDescent="0.2">
      <c r="A10" t="s">
        <v>33</v>
      </c>
      <c r="K10" s="2"/>
    </row>
    <row r="11" spans="1:16" x14ac:dyDescent="0.2">
      <c r="A11" s="9" t="str">
        <f>TEXT($L$22,"m/d")</f>
        <v>9/30</v>
      </c>
      <c r="B11" s="9"/>
      <c r="C11" s="125" t="s">
        <v>8</v>
      </c>
      <c r="D11" s="125" t="s">
        <v>6</v>
      </c>
      <c r="E11" s="125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2014</v>
      </c>
      <c r="B14" s="23"/>
      <c r="C14" s="157">
        <f>ROUND('[2]TICO 3'!Y29,0)</f>
        <v>1618066</v>
      </c>
      <c r="D14" s="157">
        <f>ROUND('[2]TICO 3'!T29,0)</f>
        <v>0</v>
      </c>
      <c r="E14" s="26">
        <f t="shared" ref="E14:E23" si="1">C14+D14</f>
        <v>1618066</v>
      </c>
      <c r="K14" s="2"/>
    </row>
    <row r="15" spans="1:16" x14ac:dyDescent="0.2">
      <c r="A15" t="str">
        <f t="shared" si="0"/>
        <v>2015</v>
      </c>
      <c r="B15" s="23"/>
      <c r="C15" s="157">
        <f>ROUND('[2]TICO 3'!Y30,0)</f>
        <v>9461279</v>
      </c>
      <c r="D15" s="157">
        <f>ROUND('[2]TICO 3'!T30,0)</f>
        <v>0</v>
      </c>
      <c r="E15" s="26">
        <f t="shared" si="1"/>
        <v>9461279</v>
      </c>
      <c r="K15" s="2"/>
    </row>
    <row r="16" spans="1:16" x14ac:dyDescent="0.2">
      <c r="A16" t="str">
        <f t="shared" si="0"/>
        <v>2016</v>
      </c>
      <c r="B16" s="23"/>
      <c r="C16" s="157">
        <f>ROUND('[2]TICO 3'!Y31,0)</f>
        <v>9531194</v>
      </c>
      <c r="D16" s="157">
        <f>ROUND('[2]TICO 3'!T31,0)</f>
        <v>0</v>
      </c>
      <c r="E16" s="26">
        <f t="shared" si="1"/>
        <v>9531194</v>
      </c>
      <c r="K16" s="2"/>
    </row>
    <row r="17" spans="1:13" x14ac:dyDescent="0.2">
      <c r="A17" t="str">
        <f t="shared" si="0"/>
        <v>2017</v>
      </c>
      <c r="B17" s="23"/>
      <c r="C17" s="157">
        <f>ROUND('[2]TICO 3'!Y32,0)</f>
        <v>7641292</v>
      </c>
      <c r="D17" s="157">
        <f>ROUND('[2]TICO 3'!T32,0)</f>
        <v>250889783</v>
      </c>
      <c r="E17" s="26">
        <f t="shared" si="1"/>
        <v>258531075</v>
      </c>
      <c r="K17" s="2"/>
    </row>
    <row r="18" spans="1:13" x14ac:dyDescent="0.2">
      <c r="A18" t="str">
        <f t="shared" si="0"/>
        <v>2018</v>
      </c>
      <c r="B18" s="23"/>
      <c r="C18" s="157">
        <f>ROUND('[2]TICO 3'!Y33,0)</f>
        <v>1114022</v>
      </c>
      <c r="D18" s="157">
        <f>ROUND('[2]TICO 3'!T33,0)</f>
        <v>0</v>
      </c>
      <c r="E18" s="26">
        <f t="shared" si="1"/>
        <v>1114022</v>
      </c>
      <c r="K18" s="2"/>
    </row>
    <row r="19" spans="1:13" x14ac:dyDescent="0.2">
      <c r="A19" t="str">
        <f t="shared" si="0"/>
        <v>2019</v>
      </c>
      <c r="B19" s="23"/>
      <c r="C19" s="157">
        <f>ROUND('[2]TICO 3'!Y34,0)</f>
        <v>832616</v>
      </c>
      <c r="D19" s="157">
        <f>ROUND('[2]TICO 3'!T34,0)</f>
        <v>0</v>
      </c>
      <c r="E19" s="26">
        <f t="shared" si="1"/>
        <v>832616</v>
      </c>
      <c r="K19" s="2"/>
    </row>
    <row r="20" spans="1:13" x14ac:dyDescent="0.2">
      <c r="A20" t="str">
        <f t="shared" si="0"/>
        <v>2020</v>
      </c>
      <c r="B20" s="23"/>
      <c r="C20" s="157">
        <f>ROUND('[2]TICO 3'!Y35,0)</f>
        <v>476739</v>
      </c>
      <c r="D20" s="157">
        <f>ROUND('[2]TICO 3'!T35,0)</f>
        <v>1826271</v>
      </c>
      <c r="E20" s="26">
        <f t="shared" si="1"/>
        <v>2303010</v>
      </c>
      <c r="K20" s="2"/>
    </row>
    <row r="21" spans="1:13" x14ac:dyDescent="0.2">
      <c r="A21" t="str">
        <f t="shared" si="0"/>
        <v>2021</v>
      </c>
      <c r="B21" s="23"/>
      <c r="C21" s="157">
        <f>ROUND('[2]TICO 3'!Y36,0)</f>
        <v>760300</v>
      </c>
      <c r="D21" s="157">
        <f>ROUND('[2]TICO 3'!T36,0)</f>
        <v>0</v>
      </c>
      <c r="E21" s="26">
        <f t="shared" si="1"/>
        <v>760300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57">
        <f>ROUND('[2]TICO 3'!Y37,0)</f>
        <v>1122593</v>
      </c>
      <c r="D22" s="157">
        <f>ROUND('[2]TICO 3'!T37,0)</f>
        <v>0</v>
      </c>
      <c r="E22" s="26">
        <f t="shared" si="1"/>
        <v>1122593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57">
        <f>ROUND('[2]TICO 3'!Y38,0)</f>
        <v>1235567</v>
      </c>
      <c r="D23" s="157">
        <f>ROUND('[2]TICO 3'!T38,0)</f>
        <v>0</v>
      </c>
      <c r="E23" s="26">
        <f t="shared" si="1"/>
        <v>1235567</v>
      </c>
      <c r="K23" s="2"/>
      <c r="L23" s="37"/>
      <c r="M23" s="37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33793668</v>
      </c>
      <c r="D26" s="19">
        <f>SUM(D14:D24)</f>
        <v>252716054</v>
      </c>
      <c r="E26" s="19">
        <f>SUM(E14:E24)</f>
        <v>286509722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 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00FF00"/>
  </sheetPr>
  <dimension ref="A1:P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20</v>
      </c>
      <c r="K1" s="1"/>
      <c r="O1" t="s">
        <v>369</v>
      </c>
      <c r="P1" t="s">
        <v>405</v>
      </c>
    </row>
    <row r="2" spans="1:16" x14ac:dyDescent="0.2">
      <c r="A2" s="8" t="str">
        <f>'1'!$A$2</f>
        <v>Residential Property - Wind &amp; Hail</v>
      </c>
      <c r="B2" s="12"/>
      <c r="J2" s="7" t="s">
        <v>62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tr">
        <f>"Summary of TWIA Historical Paid Loss as of "&amp;TEXT($M$22,"m/d/yy")</f>
        <v>Summary of TWIA Historical Paid Loss as of 12/31/23</v>
      </c>
      <c r="B4" s="12"/>
      <c r="K4" s="2"/>
    </row>
    <row r="5" spans="1:16" x14ac:dyDescent="0.2">
      <c r="A5" t="s">
        <v>46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A8" t="s">
        <v>52</v>
      </c>
      <c r="K8" s="2"/>
    </row>
    <row r="9" spans="1:16" x14ac:dyDescent="0.2">
      <c r="A9" t="s">
        <v>53</v>
      </c>
      <c r="C9" s="10" t="s">
        <v>59</v>
      </c>
      <c r="K9" s="2"/>
      <c r="L9" s="17"/>
    </row>
    <row r="10" spans="1:16" x14ac:dyDescent="0.2">
      <c r="A10" t="s">
        <v>33</v>
      </c>
      <c r="K10" s="2"/>
    </row>
    <row r="11" spans="1:16" x14ac:dyDescent="0.2">
      <c r="A11" s="9" t="str">
        <f>TEXT($L$22,"m/d")</f>
        <v>9/30</v>
      </c>
      <c r="B11" s="9"/>
      <c r="C11" s="125" t="s">
        <v>8</v>
      </c>
      <c r="D11" s="125" t="s">
        <v>6</v>
      </c>
      <c r="E11" s="125" t="s">
        <v>9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2014</v>
      </c>
      <c r="B14" s="23"/>
      <c r="C14" s="157">
        <f>ROUND('[2]TICO 3'!Z29,0)</f>
        <v>2847173</v>
      </c>
      <c r="D14" s="157">
        <f>ROUND('[2]TICO 3'!U29,0)</f>
        <v>0</v>
      </c>
      <c r="E14" s="26">
        <f>C14+D14</f>
        <v>2847173</v>
      </c>
      <c r="K14" s="2"/>
    </row>
    <row r="15" spans="1:16" x14ac:dyDescent="0.2">
      <c r="A15" t="str">
        <f t="shared" si="0"/>
        <v>2015</v>
      </c>
      <c r="B15" s="23"/>
      <c r="C15" s="157">
        <f>ROUND('[2]TICO 3'!Z30,0)</f>
        <v>86469178</v>
      </c>
      <c r="D15" s="157">
        <f>ROUND('[2]TICO 3'!U30,0)</f>
        <v>0</v>
      </c>
      <c r="E15" s="26">
        <f t="shared" ref="E15:E23" si="1">C15+D15</f>
        <v>86469178</v>
      </c>
      <c r="K15" s="2"/>
    </row>
    <row r="16" spans="1:16" x14ac:dyDescent="0.2">
      <c r="A16" t="str">
        <f t="shared" si="0"/>
        <v>2016</v>
      </c>
      <c r="B16" s="23"/>
      <c r="C16" s="157">
        <f>ROUND('[2]TICO 3'!Z31,0)</f>
        <v>12167890</v>
      </c>
      <c r="D16" s="157">
        <f>ROUND('[2]TICO 3'!U31,0)</f>
        <v>0</v>
      </c>
      <c r="E16" s="26">
        <f t="shared" si="1"/>
        <v>12167890</v>
      </c>
      <c r="K16" s="2"/>
    </row>
    <row r="17" spans="1:13" x14ac:dyDescent="0.2">
      <c r="A17" t="str">
        <f t="shared" si="0"/>
        <v>2017</v>
      </c>
      <c r="B17" s="23"/>
      <c r="C17" s="157">
        <f>ROUND('[2]TICO 3'!Z32,0)</f>
        <v>21824214</v>
      </c>
      <c r="D17" s="157">
        <f>ROUND('[2]TICO 3'!U32,0)</f>
        <v>628015623</v>
      </c>
      <c r="E17" s="26">
        <f t="shared" si="1"/>
        <v>649839837</v>
      </c>
      <c r="K17" s="2"/>
    </row>
    <row r="18" spans="1:13" x14ac:dyDescent="0.2">
      <c r="A18" t="str">
        <f t="shared" si="0"/>
        <v>2018</v>
      </c>
      <c r="B18" s="23"/>
      <c r="C18" s="157">
        <f>ROUND('[2]TICO 3'!Z33,0)</f>
        <v>6765244</v>
      </c>
      <c r="D18" s="157">
        <f>ROUND('[2]TICO 3'!U33,0)</f>
        <v>0</v>
      </c>
      <c r="E18" s="26">
        <f t="shared" si="1"/>
        <v>6765244</v>
      </c>
      <c r="K18" s="2"/>
    </row>
    <row r="19" spans="1:13" x14ac:dyDescent="0.2">
      <c r="A19" t="str">
        <f t="shared" si="0"/>
        <v>2019</v>
      </c>
      <c r="B19" s="23"/>
      <c r="C19" s="157">
        <f>ROUND('[2]TICO 3'!Z34,0)</f>
        <v>10108613</v>
      </c>
      <c r="D19" s="157">
        <f>ROUND('[2]TICO 3'!U34,0)</f>
        <v>0</v>
      </c>
      <c r="E19" s="26">
        <f t="shared" si="1"/>
        <v>10108613</v>
      </c>
      <c r="K19" s="2"/>
    </row>
    <row r="20" spans="1:13" x14ac:dyDescent="0.2">
      <c r="A20" t="str">
        <f t="shared" si="0"/>
        <v>2020</v>
      </c>
      <c r="B20" s="23"/>
      <c r="C20" s="157">
        <f>ROUND('[2]TICO 3'!Z35,0)</f>
        <v>21713126</v>
      </c>
      <c r="D20" s="157">
        <f>ROUND('[2]TICO 3'!U35,0)</f>
        <v>6954608</v>
      </c>
      <c r="E20" s="26">
        <f t="shared" si="1"/>
        <v>28667734</v>
      </c>
      <c r="K20" s="2"/>
    </row>
    <row r="21" spans="1:13" x14ac:dyDescent="0.2">
      <c r="A21" t="str">
        <f t="shared" si="0"/>
        <v>2021</v>
      </c>
      <c r="B21" s="23"/>
      <c r="C21" s="157">
        <f>ROUND('[2]TICO 3'!Z36,0)</f>
        <v>29253796</v>
      </c>
      <c r="D21" s="157">
        <f>ROUND('[2]TICO 3'!U36,0)</f>
        <v>17066570</v>
      </c>
      <c r="E21" s="26">
        <f t="shared" si="1"/>
        <v>46320366</v>
      </c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57">
        <f>ROUND('[2]TICO 3'!Z37,0)</f>
        <v>12254832</v>
      </c>
      <c r="D22" s="157">
        <f>ROUND('[2]TICO 3'!U37,0)</f>
        <v>0</v>
      </c>
      <c r="E22" s="26">
        <f t="shared" si="1"/>
        <v>12254832</v>
      </c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57">
        <f>ROUND('[2]TICO 3'!Z38,0)</f>
        <v>25757901</v>
      </c>
      <c r="D23" s="157">
        <f>ROUND('[2]TICO 3'!U38,0)</f>
        <v>0</v>
      </c>
      <c r="E23" s="26">
        <f t="shared" si="1"/>
        <v>25757901</v>
      </c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229161967</v>
      </c>
      <c r="D26" s="19">
        <f>SUM(D14:D24)</f>
        <v>652036801</v>
      </c>
      <c r="E26" s="19">
        <f>SUM(E14:E24)</f>
        <v>881198768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00FF00"/>
  </sheetPr>
  <dimension ref="A1:R69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8" x14ac:dyDescent="0.2">
      <c r="A1" s="8" t="str">
        <f>'1'!$A$1</f>
        <v>Texas Windstorm Insurance Association</v>
      </c>
      <c r="B1" s="12"/>
      <c r="J1" s="7" t="s">
        <v>20</v>
      </c>
      <c r="K1" s="1"/>
      <c r="M1" s="152" t="s">
        <v>367</v>
      </c>
      <c r="O1" t="s">
        <v>369</v>
      </c>
      <c r="P1" t="s">
        <v>405</v>
      </c>
    </row>
    <row r="2" spans="1:18" x14ac:dyDescent="0.2">
      <c r="A2" s="8" t="str">
        <f>'1'!$A$2</f>
        <v>Residential Property - Wind &amp; Hail</v>
      </c>
      <c r="B2" s="12"/>
      <c r="J2" s="7" t="s">
        <v>63</v>
      </c>
      <c r="K2" s="2"/>
    </row>
    <row r="3" spans="1:18" x14ac:dyDescent="0.2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12/31/23</v>
      </c>
      <c r="B4" s="12"/>
      <c r="K4" s="2"/>
    </row>
    <row r="5" spans="1:18" x14ac:dyDescent="0.2">
      <c r="A5" t="s">
        <v>49</v>
      </c>
      <c r="B5" s="12"/>
      <c r="K5" s="2"/>
    </row>
    <row r="6" spans="1:18" x14ac:dyDescent="0.2">
      <c r="K6" s="2"/>
    </row>
    <row r="7" spans="1:18" ht="12" thickBot="1" x14ac:dyDescent="0.25">
      <c r="A7" s="6"/>
      <c r="B7" s="6"/>
      <c r="C7" s="6"/>
      <c r="D7" s="6"/>
      <c r="E7" s="6"/>
      <c r="K7" s="2"/>
    </row>
    <row r="8" spans="1:18" ht="12" thickTop="1" x14ac:dyDescent="0.2">
      <c r="A8" t="s">
        <v>52</v>
      </c>
      <c r="K8" s="2"/>
      <c r="Q8" s="19"/>
      <c r="R8" s="19"/>
    </row>
    <row r="9" spans="1:18" x14ac:dyDescent="0.2">
      <c r="A9" t="s">
        <v>53</v>
      </c>
      <c r="C9" s="10" t="s">
        <v>59</v>
      </c>
      <c r="K9" s="2"/>
      <c r="L9" s="17"/>
      <c r="Q9" s="19"/>
      <c r="R9" s="19"/>
    </row>
    <row r="10" spans="1:18" x14ac:dyDescent="0.2">
      <c r="A10" t="s">
        <v>33</v>
      </c>
      <c r="K10" s="2"/>
      <c r="Q10" s="19"/>
      <c r="R10" s="19"/>
    </row>
    <row r="11" spans="1:18" x14ac:dyDescent="0.2">
      <c r="A11" s="9" t="str">
        <f>TEXT($L$22,"m/d")</f>
        <v>9/30</v>
      </c>
      <c r="B11" s="9"/>
      <c r="C11" s="125" t="s">
        <v>8</v>
      </c>
      <c r="D11" s="125" t="s">
        <v>6</v>
      </c>
      <c r="E11" s="125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2014</v>
      </c>
      <c r="B14" s="23"/>
      <c r="C14" s="157">
        <f>ROUND('[2]TICO 3'!AA29,0)</f>
        <v>30748</v>
      </c>
      <c r="D14" s="157">
        <f>ROUND('[2]TICO 3'!V29,0)</f>
        <v>0</v>
      </c>
      <c r="E14" s="26">
        <f>C14+D14</f>
        <v>30748</v>
      </c>
      <c r="F14" s="19"/>
      <c r="K14" s="2"/>
    </row>
    <row r="15" spans="1:18" x14ac:dyDescent="0.2">
      <c r="A15" t="str">
        <f t="shared" si="0"/>
        <v>2015</v>
      </c>
      <c r="B15" s="23"/>
      <c r="C15" s="157">
        <f>ROUND('[2]TICO 3'!AA30,0)</f>
        <v>339352</v>
      </c>
      <c r="D15" s="157">
        <f>ROUND('[2]TICO 3'!V30,0)</f>
        <v>0</v>
      </c>
      <c r="E15" s="26">
        <f t="shared" ref="E15:E22" si="1">C15+D15</f>
        <v>339352</v>
      </c>
      <c r="F15" s="19"/>
      <c r="K15" s="2"/>
    </row>
    <row r="16" spans="1:18" x14ac:dyDescent="0.2">
      <c r="A16" t="str">
        <f t="shared" si="0"/>
        <v>2016</v>
      </c>
      <c r="B16" s="23"/>
      <c r="C16" s="157">
        <f>ROUND('[2]TICO 3'!AA31,0)</f>
        <v>446449</v>
      </c>
      <c r="D16" s="157">
        <f>ROUND('[2]TICO 3'!V31,0)</f>
        <v>0</v>
      </c>
      <c r="E16" s="26">
        <f t="shared" si="1"/>
        <v>446449</v>
      </c>
      <c r="F16" s="19"/>
      <c r="K16" s="2"/>
    </row>
    <row r="17" spans="1:13" x14ac:dyDescent="0.2">
      <c r="A17" t="str">
        <f t="shared" si="0"/>
        <v>2017</v>
      </c>
      <c r="B17" s="23"/>
      <c r="C17" s="157">
        <f>ROUND('[2]TICO 3'!AA32,0)</f>
        <v>481121</v>
      </c>
      <c r="D17" s="157">
        <f>ROUND('[2]TICO 3'!V32,0)</f>
        <v>3459572</v>
      </c>
      <c r="E17" s="26">
        <f t="shared" si="1"/>
        <v>3940693</v>
      </c>
      <c r="F17" s="19"/>
      <c r="K17" s="2"/>
    </row>
    <row r="18" spans="1:13" x14ac:dyDescent="0.2">
      <c r="A18" t="str">
        <f t="shared" si="0"/>
        <v>2018</v>
      </c>
      <c r="B18" s="23"/>
      <c r="C18" s="157">
        <f>ROUND('[2]TICO 3'!AA33,0)</f>
        <v>282709</v>
      </c>
      <c r="D18" s="157">
        <f>ROUND('[2]TICO 3'!V33,0)</f>
        <v>0</v>
      </c>
      <c r="E18" s="26">
        <f t="shared" si="1"/>
        <v>282709</v>
      </c>
      <c r="F18" s="19"/>
      <c r="K18" s="2"/>
    </row>
    <row r="19" spans="1:13" x14ac:dyDescent="0.2">
      <c r="A19" t="str">
        <f t="shared" si="0"/>
        <v>2019</v>
      </c>
      <c r="B19" s="23"/>
      <c r="C19" s="157">
        <f>ROUND('[2]TICO 3'!AA34,0)</f>
        <v>2701499</v>
      </c>
      <c r="D19" s="157">
        <f>ROUND('[2]TICO 3'!V34,0)</f>
        <v>0</v>
      </c>
      <c r="E19" s="26">
        <f t="shared" si="1"/>
        <v>2701499</v>
      </c>
      <c r="F19" s="19"/>
      <c r="K19" s="2"/>
    </row>
    <row r="20" spans="1:13" x14ac:dyDescent="0.2">
      <c r="A20" t="str">
        <f t="shared" si="0"/>
        <v>2020</v>
      </c>
      <c r="B20" s="23"/>
      <c r="C20" s="157">
        <f>ROUND('[2]TICO 3'!AA35,0)</f>
        <v>449893</v>
      </c>
      <c r="D20" s="157">
        <f>ROUND('[2]TICO 3'!V35,0)</f>
        <v>6672</v>
      </c>
      <c r="E20" s="26">
        <f t="shared" si="1"/>
        <v>456565</v>
      </c>
      <c r="F20" s="19"/>
      <c r="K20" s="2"/>
    </row>
    <row r="21" spans="1:13" x14ac:dyDescent="0.2">
      <c r="A21" t="str">
        <f t="shared" si="0"/>
        <v>2021</v>
      </c>
      <c r="B21" s="23"/>
      <c r="C21" s="157">
        <f>ROUND('[2]TICO 3'!AA36,0)</f>
        <v>2052668</v>
      </c>
      <c r="D21" s="157">
        <f>ROUND('[2]TICO 3'!V36,0)</f>
        <v>15380</v>
      </c>
      <c r="E21" s="26">
        <f t="shared" si="1"/>
        <v>2068048</v>
      </c>
      <c r="F21" s="19"/>
      <c r="K21" s="2"/>
      <c r="L21" t="s">
        <v>198</v>
      </c>
      <c r="M21" t="s">
        <v>199</v>
      </c>
    </row>
    <row r="22" spans="1:13" x14ac:dyDescent="0.2">
      <c r="A22" t="str">
        <f t="shared" si="0"/>
        <v>2022</v>
      </c>
      <c r="B22" s="23"/>
      <c r="C22" s="157">
        <f>ROUND('[2]TICO 3'!AA37,0)</f>
        <v>675864</v>
      </c>
      <c r="D22" s="157">
        <f>ROUND('[2]TICO 3'!V37,0)</f>
        <v>0</v>
      </c>
      <c r="E22" s="26">
        <f t="shared" si="1"/>
        <v>675864</v>
      </c>
      <c r="F22" s="19"/>
      <c r="K22" s="2"/>
      <c r="L22" s="37">
        <f>'2.4a'!L$22</f>
        <v>45199</v>
      </c>
      <c r="M22" s="37">
        <f>'2.4a'!M$22</f>
        <v>45291</v>
      </c>
    </row>
    <row r="23" spans="1:13" x14ac:dyDescent="0.2">
      <c r="A23" t="str">
        <f>TEXT(YEAR($L$22),"#")</f>
        <v>2023</v>
      </c>
      <c r="B23" s="23"/>
      <c r="C23" s="157">
        <f>ROUND('[2]TICO 3'!AA38,0)</f>
        <v>3764430</v>
      </c>
      <c r="D23" s="157">
        <f>ROUND('[2]TICO 3'!V38,0)</f>
        <v>0</v>
      </c>
      <c r="E23" s="26">
        <f>C23+D23</f>
        <v>3764430</v>
      </c>
      <c r="F23" s="19"/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11224733</v>
      </c>
      <c r="D26" s="19">
        <f>SUM(D14:D24)</f>
        <v>3481624</v>
      </c>
      <c r="E26" s="19">
        <f>SUM(E14:E24)</f>
        <v>14706357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</sheetPr>
  <dimension ref="A1:R65"/>
  <sheetViews>
    <sheetView showGridLines="0" workbookViewId="0"/>
  </sheetViews>
  <sheetFormatPr defaultColWidth="11.33203125" defaultRowHeight="11.25" x14ac:dyDescent="0.2"/>
  <cols>
    <col min="1" max="1" width="8.5" style="72" bestFit="1" customWidth="1"/>
    <col min="2" max="2" width="10.6640625" style="72" customWidth="1"/>
    <col min="3" max="3" width="15" style="72" bestFit="1" customWidth="1"/>
    <col min="4" max="4" width="11.33203125" style="72" customWidth="1"/>
    <col min="5" max="5" width="12.1640625" style="72" customWidth="1"/>
    <col min="6" max="10" width="11.33203125" style="72" customWidth="1"/>
    <col min="11" max="11" width="11.33203125" style="72" hidden="1" customWidth="1"/>
    <col min="12" max="12" width="2.5" style="72" customWidth="1"/>
    <col min="13" max="16384" width="11.33203125" style="72"/>
  </cols>
  <sheetData>
    <row r="1" spans="1:18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/>
      <c r="L1" s="7" t="s">
        <v>20</v>
      </c>
      <c r="M1" s="71"/>
      <c r="Q1" s="72" t="s">
        <v>369</v>
      </c>
      <c r="R1" s="72" t="s">
        <v>371</v>
      </c>
    </row>
    <row r="2" spans="1:18" x14ac:dyDescent="0.2">
      <c r="A2" s="8" t="str">
        <f>'1'!$A$2</f>
        <v>Residential Property - Wind &amp; Hail</v>
      </c>
      <c r="B2"/>
      <c r="C2"/>
      <c r="D2"/>
      <c r="E2"/>
      <c r="F2"/>
      <c r="G2"/>
      <c r="H2"/>
      <c r="I2"/>
      <c r="J2"/>
      <c r="K2"/>
      <c r="L2" s="7" t="s">
        <v>86</v>
      </c>
      <c r="M2" s="73"/>
      <c r="Q2" s="72" t="s">
        <v>369</v>
      </c>
      <c r="R2" s="72" t="s">
        <v>386</v>
      </c>
    </row>
    <row r="3" spans="1:18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7"/>
      <c r="M3" s="73"/>
      <c r="Q3" s="72" t="s">
        <v>369</v>
      </c>
      <c r="R3" s="72" t="s">
        <v>387</v>
      </c>
    </row>
    <row r="4" spans="1:18" x14ac:dyDescent="0.2">
      <c r="A4" t="s">
        <v>245</v>
      </c>
      <c r="B4"/>
      <c r="C4"/>
      <c r="D4"/>
      <c r="E4"/>
      <c r="F4"/>
      <c r="G4"/>
      <c r="H4"/>
      <c r="I4"/>
      <c r="J4"/>
      <c r="K4"/>
      <c r="L4"/>
      <c r="M4" s="73"/>
      <c r="Q4" s="72" t="s">
        <v>369</v>
      </c>
      <c r="R4" s="72" t="s">
        <v>455</v>
      </c>
    </row>
    <row r="5" spans="1:18" x14ac:dyDescent="0.2">
      <c r="A5"/>
      <c r="B5"/>
      <c r="C5"/>
      <c r="D5"/>
      <c r="E5"/>
      <c r="F5"/>
      <c r="G5"/>
      <c r="H5"/>
      <c r="I5"/>
      <c r="J5"/>
      <c r="K5"/>
      <c r="L5"/>
      <c r="M5" s="73"/>
    </row>
    <row r="6" spans="1:18" x14ac:dyDescent="0.2">
      <c r="A6"/>
      <c r="B6"/>
      <c r="C6"/>
      <c r="D6"/>
      <c r="E6"/>
      <c r="F6"/>
      <c r="G6"/>
      <c r="H6"/>
      <c r="I6"/>
      <c r="J6"/>
      <c r="K6"/>
      <c r="L6"/>
      <c r="M6" s="73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/>
      <c r="M7" s="73"/>
      <c r="N7" t="s">
        <v>196</v>
      </c>
    </row>
    <row r="8" spans="1:18" ht="12" thickTop="1" x14ac:dyDescent="0.2">
      <c r="A8"/>
      <c r="B8"/>
      <c r="C8" s="11"/>
      <c r="D8"/>
      <c r="E8"/>
      <c r="F8"/>
      <c r="G8"/>
      <c r="H8"/>
      <c r="I8"/>
      <c r="J8"/>
      <c r="K8"/>
      <c r="L8"/>
      <c r="M8" s="73"/>
      <c r="N8" s="59">
        <v>45291</v>
      </c>
    </row>
    <row r="9" spans="1:18" x14ac:dyDescent="0.2">
      <c r="A9"/>
      <c r="B9"/>
      <c r="C9" s="11" t="s">
        <v>68</v>
      </c>
      <c r="D9"/>
      <c r="E9"/>
      <c r="F9"/>
      <c r="G9"/>
      <c r="H9"/>
      <c r="I9"/>
      <c r="J9"/>
      <c r="K9"/>
      <c r="L9"/>
      <c r="M9" s="73"/>
      <c r="N9"/>
    </row>
    <row r="10" spans="1:18" x14ac:dyDescent="0.2">
      <c r="A10" t="s">
        <v>211</v>
      </c>
      <c r="B10"/>
      <c r="C10" s="199" t="s">
        <v>193</v>
      </c>
      <c r="D10"/>
      <c r="E10"/>
      <c r="F10"/>
      <c r="G10"/>
      <c r="H10"/>
      <c r="I10"/>
      <c r="J10"/>
      <c r="K10"/>
      <c r="L10"/>
      <c r="M10" s="73"/>
      <c r="N10"/>
    </row>
    <row r="11" spans="1:18" x14ac:dyDescent="0.2">
      <c r="A11" s="9" t="s">
        <v>213</v>
      </c>
      <c r="B11" s="9"/>
      <c r="C11" s="200" t="s">
        <v>454</v>
      </c>
      <c r="D11"/>
      <c r="E11"/>
      <c r="F11"/>
      <c r="G11"/>
      <c r="H11"/>
      <c r="I11"/>
      <c r="J11"/>
      <c r="K11"/>
      <c r="L11"/>
      <c r="M11" s="73"/>
      <c r="N11"/>
    </row>
    <row r="12" spans="1:18" x14ac:dyDescent="0.2">
      <c r="A12" s="74" t="s">
        <v>170</v>
      </c>
      <c r="B12" s="13"/>
      <c r="C12" s="44" t="s">
        <v>171</v>
      </c>
      <c r="J12"/>
      <c r="K12"/>
      <c r="L12"/>
      <c r="M12" s="73"/>
      <c r="N12"/>
      <c r="O12"/>
      <c r="P12"/>
      <c r="Q12"/>
    </row>
    <row r="13" spans="1:18" x14ac:dyDescent="0.2">
      <c r="A13"/>
      <c r="B13"/>
      <c r="C13" s="110"/>
      <c r="D13" s="75" t="s">
        <v>172</v>
      </c>
      <c r="E13" t="s">
        <v>246</v>
      </c>
      <c r="F13"/>
      <c r="G13"/>
      <c r="H13"/>
      <c r="I13" s="47">
        <f>I14</f>
        <v>45017</v>
      </c>
      <c r="J13"/>
      <c r="K13"/>
      <c r="L13"/>
      <c r="M13" s="73"/>
      <c r="N13"/>
      <c r="O13"/>
      <c r="P13"/>
      <c r="Q13"/>
    </row>
    <row r="14" spans="1:18" x14ac:dyDescent="0.2">
      <c r="A14" t="str">
        <f t="shared" ref="A14:A23" si="0">A31&amp;" / 3"</f>
        <v>2014 / 3</v>
      </c>
      <c r="B14"/>
      <c r="C14" s="241">
        <f>ROUND('3.2 premium trend'!G15,2)</f>
        <v>1762.63</v>
      </c>
      <c r="D14" s="75" t="s">
        <v>127</v>
      </c>
      <c r="E14" t="s">
        <v>247</v>
      </c>
      <c r="I14" s="203">
        <f>'3.3a'!O32</f>
        <v>45017</v>
      </c>
      <c r="J14"/>
      <c r="K14"/>
      <c r="L14"/>
      <c r="M14" s="73"/>
      <c r="N14"/>
      <c r="O14"/>
      <c r="P14"/>
      <c r="Q14"/>
    </row>
    <row r="15" spans="1:18" x14ac:dyDescent="0.2">
      <c r="A15" t="str">
        <f t="shared" si="0"/>
        <v>2015 / 3</v>
      </c>
      <c r="B15"/>
      <c r="C15" s="241">
        <f>ROUND('3.2 premium trend'!G19,2)</f>
        <v>1778.86</v>
      </c>
      <c r="D15" s="75" t="s">
        <v>106</v>
      </c>
      <c r="E15" t="s">
        <v>248</v>
      </c>
      <c r="F15"/>
      <c r="G15"/>
      <c r="H15"/>
      <c r="I15" s="52">
        <v>46023</v>
      </c>
      <c r="J15"/>
      <c r="K15"/>
      <c r="L15"/>
      <c r="M15" s="73"/>
      <c r="N15"/>
      <c r="O15"/>
      <c r="P15"/>
      <c r="Q15"/>
    </row>
    <row r="16" spans="1:18" x14ac:dyDescent="0.2">
      <c r="A16" t="str">
        <f t="shared" si="0"/>
        <v>2016 / 3</v>
      </c>
      <c r="B16" s="23"/>
      <c r="C16" s="242">
        <f>ROUND('3.2 premium trend'!$G$23,2)</f>
        <v>1781.44</v>
      </c>
      <c r="D16" s="75" t="s">
        <v>110</v>
      </c>
      <c r="E16" t="s">
        <v>249</v>
      </c>
      <c r="F16"/>
      <c r="G16"/>
      <c r="H16"/>
      <c r="I16" s="29">
        <f>YEAR(I15)-YEAR(I13+1)+(MONTH(I15)-MONTH(I13+1))/12</f>
        <v>2.75</v>
      </c>
      <c r="J16"/>
      <c r="K16"/>
      <c r="L16"/>
      <c r="M16" s="73"/>
      <c r="N16"/>
      <c r="O16"/>
      <c r="P16"/>
      <c r="Q16"/>
    </row>
    <row r="17" spans="1:17" x14ac:dyDescent="0.2">
      <c r="A17" t="str">
        <f t="shared" si="0"/>
        <v>2017 / 3</v>
      </c>
      <c r="B17" s="23"/>
      <c r="C17" s="242">
        <f>ROUND('3.2 premium trend'!$G$27,2)</f>
        <v>1738.9</v>
      </c>
      <c r="D17" s="75" t="s">
        <v>109</v>
      </c>
      <c r="E17" s="72" t="s">
        <v>250</v>
      </c>
      <c r="I17" s="29">
        <f>YEAR(I15)-YEAR(I14+1)+(MONTH(I15)-MONTH(I14+1))/12</f>
        <v>2.75</v>
      </c>
      <c r="J17"/>
      <c r="K17"/>
      <c r="L17"/>
      <c r="M17" s="73"/>
      <c r="N17"/>
      <c r="O17"/>
      <c r="P17"/>
      <c r="Q17"/>
    </row>
    <row r="18" spans="1:17" x14ac:dyDescent="0.2">
      <c r="A18" t="str">
        <f t="shared" si="0"/>
        <v>2018 / 3</v>
      </c>
      <c r="B18" s="23"/>
      <c r="C18" s="242">
        <f>ROUND('3.2 premium trend'!$G$31,2)</f>
        <v>1774.13</v>
      </c>
      <c r="D18" s="75" t="s">
        <v>108</v>
      </c>
      <c r="E18" t="s">
        <v>203</v>
      </c>
      <c r="F18"/>
      <c r="G18"/>
      <c r="H18"/>
      <c r="I18" s="42">
        <f>'3.2 premium trend'!$L$58</f>
        <v>6.6690974335765763E-2</v>
      </c>
      <c r="J18"/>
      <c r="K18"/>
      <c r="L18"/>
      <c r="M18" s="73"/>
      <c r="N18"/>
      <c r="O18"/>
      <c r="P18"/>
      <c r="Q18"/>
    </row>
    <row r="19" spans="1:17" x14ac:dyDescent="0.2">
      <c r="A19" t="str">
        <f t="shared" si="0"/>
        <v>2019 / 3</v>
      </c>
      <c r="B19" s="23"/>
      <c r="C19" s="242">
        <f>ROUND('3.2 premium trend'!$G$35,2)</f>
        <v>1771.01</v>
      </c>
      <c r="D19" s="75" t="s">
        <v>107</v>
      </c>
      <c r="E19" t="s">
        <v>261</v>
      </c>
      <c r="F19"/>
      <c r="G19"/>
      <c r="H19"/>
      <c r="I19" s="42">
        <f>'3.3a'!F28</f>
        <v>7.5999999999999998E-2</v>
      </c>
      <c r="J19"/>
      <c r="K19"/>
      <c r="L19"/>
      <c r="M19" s="73"/>
      <c r="N19"/>
      <c r="O19"/>
      <c r="P19"/>
      <c r="Q19"/>
    </row>
    <row r="20" spans="1:17" x14ac:dyDescent="0.2">
      <c r="A20" t="str">
        <f t="shared" si="0"/>
        <v>2020 / 3</v>
      </c>
      <c r="B20" s="23"/>
      <c r="C20" s="242">
        <f>ROUND('3.2 premium trend'!$G$39,2)</f>
        <v>1785.14</v>
      </c>
      <c r="J20"/>
      <c r="K20"/>
      <c r="L20"/>
      <c r="M20" s="73"/>
      <c r="N20"/>
      <c r="O20"/>
      <c r="P20"/>
      <c r="Q20"/>
    </row>
    <row r="21" spans="1:17" x14ac:dyDescent="0.2">
      <c r="A21" t="str">
        <f t="shared" si="0"/>
        <v>2021 / 3</v>
      </c>
      <c r="C21" s="242">
        <f>ROUND('3.2 premium trend'!$G$43,2)</f>
        <v>1847.23</v>
      </c>
      <c r="J21"/>
      <c r="K21"/>
      <c r="L21"/>
      <c r="M21" s="73"/>
    </row>
    <row r="22" spans="1:17" x14ac:dyDescent="0.2">
      <c r="A22" t="str">
        <f t="shared" si="0"/>
        <v>2022 / 3</v>
      </c>
      <c r="C22" s="242">
        <f>ROUND('3.2 premium trend'!$G$47,2)</f>
        <v>2057.81</v>
      </c>
      <c r="D22" s="75"/>
      <c r="E22"/>
      <c r="F22" s="29"/>
      <c r="G22" s="29"/>
      <c r="H22"/>
      <c r="I22" s="29"/>
      <c r="J22"/>
      <c r="K22"/>
      <c r="L22"/>
      <c r="M22" s="73"/>
    </row>
    <row r="23" spans="1:17" x14ac:dyDescent="0.2">
      <c r="A23" t="str">
        <f t="shared" si="0"/>
        <v>2023 / 3</v>
      </c>
      <c r="C23" s="242">
        <f>ROUND('3.2 premium trend'!$G$51,2)</f>
        <v>2234.21</v>
      </c>
      <c r="J23"/>
      <c r="K23"/>
      <c r="L23"/>
      <c r="M23" s="73"/>
    </row>
    <row r="24" spans="1:17" x14ac:dyDescent="0.2">
      <c r="J24"/>
      <c r="K24"/>
      <c r="L24"/>
      <c r="M24" s="73"/>
    </row>
    <row r="25" spans="1:17" x14ac:dyDescent="0.2">
      <c r="A25" t="s">
        <v>52</v>
      </c>
      <c r="B25" s="23"/>
      <c r="C25" s="76"/>
      <c r="D25" s="29"/>
      <c r="E25" s="29"/>
      <c r="F25" s="29"/>
      <c r="G25" s="29"/>
      <c r="H25"/>
      <c r="I25"/>
      <c r="J25"/>
      <c r="K25"/>
      <c r="L25"/>
      <c r="M25" s="73"/>
    </row>
    <row r="26" spans="1:17" x14ac:dyDescent="0.2">
      <c r="A26" t="s">
        <v>53</v>
      </c>
      <c r="B26"/>
      <c r="C26" s="11" t="s">
        <v>207</v>
      </c>
      <c r="D26" s="11" t="s">
        <v>207</v>
      </c>
      <c r="E26" s="11" t="s">
        <v>208</v>
      </c>
      <c r="F26" s="11" t="s">
        <v>208</v>
      </c>
      <c r="G26" s="11" t="s">
        <v>37</v>
      </c>
      <c r="H26"/>
      <c r="I26"/>
      <c r="J26"/>
      <c r="K26"/>
      <c r="L26"/>
      <c r="M26" s="73"/>
    </row>
    <row r="27" spans="1:17" x14ac:dyDescent="0.2">
      <c r="A27" t="s">
        <v>33</v>
      </c>
      <c r="B27"/>
      <c r="C27" s="11" t="s">
        <v>113</v>
      </c>
      <c r="D27" s="11" t="s">
        <v>40</v>
      </c>
      <c r="E27" s="11" t="s">
        <v>113</v>
      </c>
      <c r="F27" s="11" t="s">
        <v>40</v>
      </c>
      <c r="G27" s="11" t="s">
        <v>38</v>
      </c>
      <c r="H27"/>
      <c r="I27"/>
      <c r="J27"/>
      <c r="K27"/>
      <c r="L27"/>
      <c r="M27" s="73"/>
    </row>
    <row r="28" spans="1:17" x14ac:dyDescent="0.2">
      <c r="A28" s="9" t="str">
        <f>TEXT('3.3a'!N9,"m/d")</f>
        <v>9/30</v>
      </c>
      <c r="B28" s="9"/>
      <c r="C28" s="125" t="s">
        <v>38</v>
      </c>
      <c r="D28" s="125" t="s">
        <v>38</v>
      </c>
      <c r="E28" s="125" t="s">
        <v>38</v>
      </c>
      <c r="F28" s="125" t="s">
        <v>38</v>
      </c>
      <c r="G28" s="125" t="s">
        <v>36</v>
      </c>
      <c r="H28"/>
      <c r="I28"/>
      <c r="J28"/>
      <c r="K28"/>
      <c r="L28"/>
      <c r="M28" s="73"/>
    </row>
    <row r="29" spans="1:17" x14ac:dyDescent="0.2">
      <c r="A29" s="74" t="s">
        <v>100</v>
      </c>
      <c r="B29" s="13"/>
      <c r="C29" s="74" t="s">
        <v>186</v>
      </c>
      <c r="D29" s="74" t="s">
        <v>251</v>
      </c>
      <c r="E29" s="44" t="s">
        <v>252</v>
      </c>
      <c r="F29" s="44" t="s">
        <v>253</v>
      </c>
      <c r="G29" s="44" t="s">
        <v>187</v>
      </c>
      <c r="H29"/>
      <c r="I29"/>
      <c r="J29"/>
      <c r="K29"/>
      <c r="L29"/>
      <c r="M29" s="73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 s="73"/>
    </row>
    <row r="31" spans="1:17" x14ac:dyDescent="0.2">
      <c r="A31" t="str">
        <f t="shared" ref="A31:A39" si="1">TEXT(A32-1,"#")</f>
        <v>2014</v>
      </c>
      <c r="B31" s="23"/>
      <c r="C31" s="28">
        <f>C$23/C14</f>
        <v>1.2675433868707555</v>
      </c>
      <c r="D31" s="29">
        <f>'3.3a'!F14</f>
        <v>1.417</v>
      </c>
      <c r="E31" s="29">
        <f t="shared" ref="E31:E40" si="2">(1+I$18)^I$16</f>
        <v>1.1942801281257298</v>
      </c>
      <c r="F31" s="29">
        <f t="shared" ref="F31:F40" si="3">(1+I$19)^I$17</f>
        <v>1.2231613403366435</v>
      </c>
      <c r="G31" s="29">
        <f>ROUND(PRODUCT(D31,F31)/PRODUCT(C31,E31),3)</f>
        <v>1.145</v>
      </c>
      <c r="H31"/>
      <c r="I31"/>
      <c r="J31"/>
      <c r="K31"/>
      <c r="L31"/>
      <c r="M31" s="73"/>
    </row>
    <row r="32" spans="1:17" x14ac:dyDescent="0.2">
      <c r="A32" t="str">
        <f t="shared" si="1"/>
        <v>2015</v>
      </c>
      <c r="B32" s="23"/>
      <c r="C32" s="28">
        <f>C$23/C15</f>
        <v>1.2559785480588692</v>
      </c>
      <c r="D32" s="29">
        <f>'3.3a'!F15</f>
        <v>1.387</v>
      </c>
      <c r="E32" s="29">
        <f t="shared" si="2"/>
        <v>1.1942801281257298</v>
      </c>
      <c r="F32" s="29">
        <f t="shared" si="3"/>
        <v>1.2231613403366435</v>
      </c>
      <c r="G32" s="29">
        <f t="shared" ref="G32:G39" si="4">ROUND(PRODUCT(D32,F32)/PRODUCT(C32,E32),3)</f>
        <v>1.131</v>
      </c>
      <c r="H32"/>
      <c r="I32"/>
      <c r="J32"/>
      <c r="K32"/>
      <c r="L32"/>
      <c r="M32" s="73"/>
    </row>
    <row r="33" spans="1:13" x14ac:dyDescent="0.2">
      <c r="A33" t="str">
        <f t="shared" si="1"/>
        <v>2016</v>
      </c>
      <c r="B33"/>
      <c r="C33" s="28">
        <f t="shared" ref="C33:C39" si="5">C$23/C16</f>
        <v>1.2541595563139931</v>
      </c>
      <c r="D33" s="29">
        <f>'3.3a'!F16</f>
        <v>1.39</v>
      </c>
      <c r="E33" s="29">
        <f t="shared" si="2"/>
        <v>1.1942801281257298</v>
      </c>
      <c r="F33" s="29">
        <f t="shared" si="3"/>
        <v>1.2231613403366435</v>
      </c>
      <c r="G33" s="29">
        <f t="shared" si="4"/>
        <v>1.135</v>
      </c>
      <c r="H33"/>
      <c r="I33"/>
      <c r="J33"/>
      <c r="K33"/>
      <c r="L33"/>
      <c r="M33" s="73"/>
    </row>
    <row r="34" spans="1:13" x14ac:dyDescent="0.2">
      <c r="A34" t="str">
        <f t="shared" si="1"/>
        <v>2017</v>
      </c>
      <c r="B34"/>
      <c r="C34" s="28">
        <f t="shared" si="5"/>
        <v>1.2848409914313645</v>
      </c>
      <c r="D34" s="29">
        <f>'3.3a'!F17</f>
        <v>1.3759999999999999</v>
      </c>
      <c r="E34" s="29">
        <f t="shared" si="2"/>
        <v>1.1942801281257298</v>
      </c>
      <c r="F34" s="29">
        <f t="shared" si="3"/>
        <v>1.2231613403366435</v>
      </c>
      <c r="G34" s="29">
        <f t="shared" si="4"/>
        <v>1.097</v>
      </c>
      <c r="H34"/>
      <c r="I34"/>
      <c r="J34"/>
      <c r="K34"/>
      <c r="L34"/>
      <c r="M34" s="73"/>
    </row>
    <row r="35" spans="1:13" x14ac:dyDescent="0.2">
      <c r="A35" t="str">
        <f t="shared" si="1"/>
        <v>2018</v>
      </c>
      <c r="B35"/>
      <c r="C35" s="28">
        <f t="shared" si="5"/>
        <v>1.2593271068072802</v>
      </c>
      <c r="D35" s="29">
        <f>'3.3a'!F18</f>
        <v>1.3320000000000001</v>
      </c>
      <c r="E35" s="29">
        <f t="shared" si="2"/>
        <v>1.1942801281257298</v>
      </c>
      <c r="F35" s="29">
        <f t="shared" si="3"/>
        <v>1.2231613403366435</v>
      </c>
      <c r="G35" s="29">
        <f t="shared" si="4"/>
        <v>1.083</v>
      </c>
      <c r="H35"/>
      <c r="I35"/>
      <c r="J35"/>
      <c r="K35"/>
      <c r="L35"/>
      <c r="M35" s="73"/>
    </row>
    <row r="36" spans="1:13" x14ac:dyDescent="0.2">
      <c r="A36" t="str">
        <f t="shared" si="1"/>
        <v>2019</v>
      </c>
      <c r="B36"/>
      <c r="C36" s="28">
        <f t="shared" si="5"/>
        <v>1.2615456716788724</v>
      </c>
      <c r="D36" s="29">
        <f>'3.3a'!F19</f>
        <v>1.2949999999999999</v>
      </c>
      <c r="E36" s="29">
        <f t="shared" si="2"/>
        <v>1.1942801281257298</v>
      </c>
      <c r="F36" s="29">
        <f t="shared" si="3"/>
        <v>1.2231613403366435</v>
      </c>
      <c r="G36" s="29">
        <f t="shared" si="4"/>
        <v>1.0509999999999999</v>
      </c>
      <c r="H36"/>
      <c r="I36"/>
      <c r="J36"/>
      <c r="K36"/>
      <c r="L36"/>
      <c r="M36" s="73"/>
    </row>
    <row r="37" spans="1:13" x14ac:dyDescent="0.2">
      <c r="A37" t="str">
        <f t="shared" si="1"/>
        <v>2020</v>
      </c>
      <c r="B37"/>
      <c r="C37" s="28">
        <f t="shared" si="5"/>
        <v>1.2515601017287159</v>
      </c>
      <c r="D37" s="29">
        <f>'3.3a'!F20</f>
        <v>1.3</v>
      </c>
      <c r="E37" s="29">
        <f t="shared" si="2"/>
        <v>1.1942801281257298</v>
      </c>
      <c r="F37" s="29">
        <f t="shared" si="3"/>
        <v>1.2231613403366435</v>
      </c>
      <c r="G37" s="29">
        <f t="shared" si="4"/>
        <v>1.0640000000000001</v>
      </c>
      <c r="H37"/>
      <c r="I37"/>
      <c r="J37"/>
      <c r="K37"/>
      <c r="L37"/>
      <c r="M37" s="73"/>
    </row>
    <row r="38" spans="1:13" x14ac:dyDescent="0.2">
      <c r="A38" t="str">
        <f t="shared" si="1"/>
        <v>2021</v>
      </c>
      <c r="B38"/>
      <c r="C38" s="28">
        <f t="shared" si="5"/>
        <v>1.2094920502590365</v>
      </c>
      <c r="D38" s="29">
        <f>'3.3a'!F21</f>
        <v>1.1890000000000001</v>
      </c>
      <c r="E38" s="29">
        <f t="shared" si="2"/>
        <v>1.1942801281257298</v>
      </c>
      <c r="F38" s="29">
        <f t="shared" si="3"/>
        <v>1.2231613403366435</v>
      </c>
      <c r="G38" s="29">
        <f>ROUND(PRODUCT(D38,F38)/PRODUCT(C38,E38),3)</f>
        <v>1.0069999999999999</v>
      </c>
      <c r="H38"/>
      <c r="I38"/>
      <c r="J38"/>
      <c r="K38"/>
      <c r="L38"/>
      <c r="M38" s="73"/>
    </row>
    <row r="39" spans="1:13" x14ac:dyDescent="0.2">
      <c r="A39" t="str">
        <f t="shared" si="1"/>
        <v>2022</v>
      </c>
      <c r="B39"/>
      <c r="C39" s="28">
        <f t="shared" si="5"/>
        <v>1.0857221998143658</v>
      </c>
      <c r="D39" s="29">
        <f>'3.3a'!F22</f>
        <v>1.028</v>
      </c>
      <c r="E39" s="29">
        <f t="shared" si="2"/>
        <v>1.1942801281257298</v>
      </c>
      <c r="F39" s="29">
        <f t="shared" si="3"/>
        <v>1.2231613403366435</v>
      </c>
      <c r="G39" s="29">
        <f t="shared" si="4"/>
        <v>0.97</v>
      </c>
      <c r="H39"/>
      <c r="I39"/>
      <c r="J39"/>
      <c r="K39"/>
      <c r="L39"/>
      <c r="M39" s="73"/>
    </row>
    <row r="40" spans="1:13" x14ac:dyDescent="0.2">
      <c r="A40" t="str">
        <f>TEXT(YEAR($N$8),"#")</f>
        <v>2023</v>
      </c>
      <c r="B40"/>
      <c r="C40" s="28">
        <f>C$23/C23</f>
        <v>1</v>
      </c>
      <c r="D40" s="29">
        <f>'3.3a'!F23</f>
        <v>1</v>
      </c>
      <c r="E40" s="29">
        <f t="shared" si="2"/>
        <v>1.1942801281257298</v>
      </c>
      <c r="F40" s="29">
        <f t="shared" si="3"/>
        <v>1.2231613403366435</v>
      </c>
      <c r="G40" s="29">
        <f>ROUND(PRODUCT(D40,F40)/PRODUCT(C40,E40),3)</f>
        <v>1.024</v>
      </c>
      <c r="H40"/>
      <c r="I40"/>
      <c r="J40"/>
      <c r="K40"/>
      <c r="L40"/>
      <c r="M40" s="73"/>
    </row>
    <row r="41" spans="1:13" ht="12" thickBot="1" x14ac:dyDescent="0.25">
      <c r="A41" s="6"/>
      <c r="B41" s="6"/>
      <c r="C41" s="99"/>
      <c r="D41" s="99"/>
      <c r="E41" s="99"/>
      <c r="F41" s="99"/>
      <c r="G41" s="99"/>
      <c r="H41" s="6"/>
      <c r="I41" s="6"/>
      <c r="J41"/>
      <c r="K41"/>
      <c r="L41"/>
      <c r="M41" s="73"/>
    </row>
    <row r="42" spans="1:13" ht="12" thickTop="1" x14ac:dyDescent="0.2">
      <c r="A42"/>
      <c r="B42"/>
      <c r="C42"/>
      <c r="D42"/>
      <c r="E42"/>
      <c r="F42"/>
      <c r="G42"/>
      <c r="H42"/>
      <c r="I42"/>
      <c r="J42"/>
      <c r="K42"/>
      <c r="L42"/>
      <c r="M42" s="73"/>
    </row>
    <row r="43" spans="1:13" x14ac:dyDescent="0.2">
      <c r="A43" t="s">
        <v>17</v>
      </c>
      <c r="B43"/>
      <c r="C43"/>
      <c r="D43"/>
      <c r="E43"/>
      <c r="F43"/>
      <c r="G43"/>
      <c r="H43"/>
      <c r="I43"/>
      <c r="J43"/>
      <c r="K43"/>
      <c r="L43"/>
      <c r="M43" s="73"/>
    </row>
    <row r="44" spans="1:13" x14ac:dyDescent="0.2">
      <c r="A44"/>
      <c r="B44" t="str">
        <f>C12&amp;" Average written premium per exposure at present rates from "&amp;'3.2 premium trend'!$L$1&amp;", "&amp;'3.2 premium trend'!$L$2&amp;", Column "&amp;'3.2 premium trend'!$G$12</f>
        <v>(2) Average written premium per exposure at present rates from Exhibit 3, Sheet 2, Column (6)</v>
      </c>
      <c r="C44"/>
      <c r="D44"/>
      <c r="E44"/>
      <c r="F44"/>
      <c r="G44"/>
      <c r="H44"/>
      <c r="I44"/>
      <c r="J44"/>
      <c r="K44"/>
      <c r="L44"/>
      <c r="M44" s="73"/>
    </row>
    <row r="45" spans="1:13" x14ac:dyDescent="0.2">
      <c r="A45"/>
      <c r="B45" t="str">
        <f>D13&amp;" Latest Year / Quarter Ending Date - 6 Months"</f>
        <v>(3) Latest Year / Quarter Ending Date - 6 Months</v>
      </c>
      <c r="C45"/>
      <c r="D45"/>
      <c r="E45"/>
      <c r="F45"/>
      <c r="G45"/>
      <c r="H45"/>
      <c r="I45"/>
      <c r="J45"/>
      <c r="K45"/>
      <c r="L45"/>
      <c r="M45" s="73"/>
    </row>
    <row r="46" spans="1:13" x14ac:dyDescent="0.2">
      <c r="A46"/>
      <c r="B46" t="str">
        <f>D14&amp;" Latest Accident Year Ending Date - 6 Months"</f>
        <v>(4) Latest Accident Year Ending Date - 6 Months</v>
      </c>
      <c r="C46"/>
      <c r="D46"/>
      <c r="E46"/>
      <c r="F46"/>
      <c r="G46"/>
      <c r="H46"/>
      <c r="I46"/>
      <c r="J46"/>
      <c r="K46"/>
      <c r="L46"/>
      <c r="M46" s="73"/>
    </row>
    <row r="47" spans="1:13" x14ac:dyDescent="0.2">
      <c r="A47"/>
      <c r="B47" t="str">
        <f>D15&amp;" Rate Effective Date + 12 Months"</f>
        <v>(5) Rate Effective Date + 12 Months</v>
      </c>
      <c r="C47"/>
      <c r="D47"/>
      <c r="E47"/>
      <c r="F47"/>
      <c r="G47"/>
      <c r="H47"/>
      <c r="I47"/>
      <c r="J47"/>
      <c r="K47"/>
      <c r="L47"/>
      <c r="M47" s="73"/>
    </row>
    <row r="48" spans="1:13" x14ac:dyDescent="0.2">
      <c r="A48"/>
      <c r="B48" t="str">
        <f>D16&amp;" = "&amp;D15&amp;" - "&amp;D13</f>
        <v>(6) = (5) - (3)</v>
      </c>
      <c r="C48"/>
      <c r="D48"/>
      <c r="E48"/>
      <c r="F48"/>
      <c r="G48"/>
      <c r="H48"/>
      <c r="I48"/>
      <c r="J48"/>
      <c r="K48"/>
      <c r="L48"/>
      <c r="M48" s="73"/>
    </row>
    <row r="49" spans="1:13" x14ac:dyDescent="0.2">
      <c r="A49"/>
      <c r="B49" t="str">
        <f>D17&amp;" = "&amp;D15&amp;" - "&amp;D14</f>
        <v>(7) = (5) - (4)</v>
      </c>
      <c r="C49"/>
      <c r="D49"/>
      <c r="E49"/>
      <c r="F49"/>
      <c r="G49"/>
      <c r="H49"/>
      <c r="I49"/>
      <c r="J49"/>
      <c r="K49"/>
      <c r="L49"/>
      <c r="M49" s="73"/>
    </row>
    <row r="50" spans="1:13" x14ac:dyDescent="0.2">
      <c r="A50"/>
      <c r="B50" t="str">
        <f>D18&amp;" "&amp;'3.2 premium trend'!$L$1&amp;", "&amp;'3.2 premium trend'!$L$2</f>
        <v>(8) Exhibit 3, Sheet 2</v>
      </c>
      <c r="C50"/>
      <c r="D50"/>
      <c r="E50"/>
      <c r="F50"/>
      <c r="G50"/>
      <c r="H50"/>
      <c r="I50"/>
      <c r="J50"/>
      <c r="K50"/>
      <c r="L50"/>
      <c r="M50" s="73"/>
    </row>
    <row r="51" spans="1:13" x14ac:dyDescent="0.2">
      <c r="A51"/>
      <c r="B51" t="str">
        <f>D19&amp;" "&amp;'3.3a'!$L$1&amp;", "&amp;'3.3a'!$L$2</f>
        <v>(9) Exhibit 3, Sheet 3a</v>
      </c>
      <c r="C51"/>
      <c r="D51"/>
      <c r="E51"/>
      <c r="F51"/>
      <c r="G51"/>
      <c r="H51"/>
      <c r="I51"/>
      <c r="J51"/>
      <c r="K51"/>
      <c r="L51"/>
      <c r="M51" s="73"/>
    </row>
    <row r="52" spans="1:13" x14ac:dyDescent="0.2">
      <c r="A52"/>
      <c r="B52" s="83" t="str">
        <f>C29&amp;" = "&amp;C12&amp;" Indexed to "&amp;A23</f>
        <v>(11) = (2) Indexed to 2023 / 3</v>
      </c>
      <c r="C52"/>
      <c r="D52"/>
      <c r="E52"/>
      <c r="F52"/>
      <c r="G52"/>
      <c r="H52"/>
      <c r="I52"/>
      <c r="J52"/>
      <c r="K52"/>
      <c r="L52"/>
      <c r="M52" s="73"/>
    </row>
    <row r="53" spans="1:13" x14ac:dyDescent="0.2">
      <c r="A53"/>
      <c r="B53" t="str">
        <f>D29&amp;" "&amp;'3.3a'!$L$1&amp;", "&amp;'3.3a'!$L$2</f>
        <v>(12) Exhibit 3, Sheet 3a</v>
      </c>
      <c r="C53"/>
      <c r="D53"/>
      <c r="E53"/>
      <c r="F53"/>
      <c r="G53"/>
      <c r="H53"/>
      <c r="I53"/>
      <c r="J53"/>
      <c r="K53"/>
      <c r="L53"/>
      <c r="M53" s="73"/>
    </row>
    <row r="54" spans="1:13" x14ac:dyDescent="0.2">
      <c r="A54"/>
      <c r="B54" t="str">
        <f>E29&amp;" = [1 + "&amp;D18&amp;"] ^ "&amp;D16</f>
        <v>(13) = [1 + (8)] ^ (6)</v>
      </c>
      <c r="C54"/>
      <c r="D54"/>
      <c r="E54"/>
      <c r="F54"/>
      <c r="G54"/>
      <c r="H54"/>
      <c r="I54"/>
      <c r="J54"/>
      <c r="K54"/>
      <c r="L54"/>
      <c r="M54" s="73"/>
    </row>
    <row r="55" spans="1:13" x14ac:dyDescent="0.2">
      <c r="A55"/>
      <c r="B55" t="str">
        <f>F29&amp;" = [1 + "&amp;D19&amp;"] ^ "&amp;D17</f>
        <v>(14) = [1 + (9)] ^ (7)</v>
      </c>
      <c r="C55"/>
      <c r="D55"/>
      <c r="E55"/>
      <c r="F55"/>
      <c r="G55"/>
      <c r="H55"/>
      <c r="I55"/>
      <c r="J55"/>
      <c r="K55"/>
      <c r="L55"/>
      <c r="M55" s="73"/>
    </row>
    <row r="56" spans="1:13" x14ac:dyDescent="0.2">
      <c r="A56"/>
      <c r="B56" t="str">
        <f>G29&amp;" = ["&amp;D29&amp;" * "&amp;F29&amp;"] / ["&amp;C29&amp;" * "&amp;E29&amp;"]"</f>
        <v>(15) = [(12) * (14)] / [(11) * (13)]</v>
      </c>
      <c r="C56"/>
      <c r="D56"/>
      <c r="E56"/>
      <c r="F56"/>
      <c r="G56"/>
      <c r="H56"/>
      <c r="I56"/>
      <c r="J56"/>
      <c r="K56"/>
      <c r="L56"/>
      <c r="M56" s="73"/>
    </row>
    <row r="57" spans="1:13" x14ac:dyDescent="0.2">
      <c r="A57"/>
      <c r="C57"/>
      <c r="D57"/>
      <c r="E57"/>
      <c r="F57"/>
      <c r="G57"/>
      <c r="H57"/>
      <c r="I57"/>
      <c r="J57"/>
      <c r="K57"/>
      <c r="L57"/>
      <c r="M57" s="73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 s="73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 s="73"/>
    </row>
    <row r="60" spans="1:13" x14ac:dyDescent="0.2">
      <c r="A60"/>
      <c r="B60"/>
      <c r="C60" s="19"/>
      <c r="D60"/>
      <c r="E60"/>
      <c r="F60" s="19"/>
      <c r="G60" s="19"/>
      <c r="H60"/>
      <c r="I60"/>
      <c r="J60"/>
      <c r="K60"/>
      <c r="L60"/>
      <c r="M60" s="73"/>
    </row>
    <row r="61" spans="1:13" x14ac:dyDescent="0.2">
      <c r="A61"/>
      <c r="B61" s="23"/>
      <c r="C61" s="84"/>
      <c r="J61"/>
      <c r="K61"/>
      <c r="L61"/>
      <c r="M61" s="73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 s="73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 s="73"/>
    </row>
    <row r="64" spans="1:13" ht="12" thickBot="1" x14ac:dyDescent="0.25">
      <c r="A64"/>
      <c r="B64"/>
      <c r="C64"/>
      <c r="D64"/>
      <c r="E64"/>
      <c r="F64"/>
      <c r="G64"/>
      <c r="H64"/>
      <c r="I64"/>
      <c r="J64"/>
      <c r="K64"/>
      <c r="L64"/>
      <c r="M64" s="73"/>
    </row>
    <row r="65" spans="1:13" ht="12" thickBot="1" x14ac:dyDescent="0.25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</sheetPr>
  <dimension ref="A1:Y51"/>
  <sheetViews>
    <sheetView showGridLines="0" workbookViewId="0"/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9" x14ac:dyDescent="0.2">
      <c r="A1" s="8" t="str">
        <f>'1'!$A$1</f>
        <v>Texas Windstorm Insurance Association</v>
      </c>
      <c r="B1" s="12"/>
      <c r="L1" s="7" t="s">
        <v>64</v>
      </c>
      <c r="M1" s="1"/>
      <c r="O1" t="s">
        <v>369</v>
      </c>
      <c r="P1" t="s">
        <v>403</v>
      </c>
      <c r="S1" s="152" t="s">
        <v>365</v>
      </c>
    </row>
    <row r="2" spans="1:19" x14ac:dyDescent="0.2">
      <c r="A2" s="8" t="str">
        <f>'1'!$A$2</f>
        <v>Residential Property - Wind &amp; Hail</v>
      </c>
      <c r="B2" s="12"/>
      <c r="L2" s="7" t="s">
        <v>21</v>
      </c>
      <c r="M2" s="2"/>
      <c r="O2" t="s">
        <v>369</v>
      </c>
      <c r="P2" t="s">
        <v>404</v>
      </c>
    </row>
    <row r="3" spans="1:19" x14ac:dyDescent="0.2">
      <c r="A3" s="8" t="str">
        <f>'1'!$A$3</f>
        <v>Rate Level Review</v>
      </c>
      <c r="B3" s="12"/>
      <c r="M3" s="2"/>
    </row>
    <row r="4" spans="1:19" x14ac:dyDescent="0.2">
      <c r="A4" t="s">
        <v>84</v>
      </c>
      <c r="B4" s="12"/>
      <c r="M4" s="2"/>
    </row>
    <row r="5" spans="1:19" x14ac:dyDescent="0.2">
      <c r="A5" t="s">
        <v>304</v>
      </c>
      <c r="B5" s="12"/>
      <c r="M5" s="2"/>
    </row>
    <row r="6" spans="1:19" x14ac:dyDescent="0.2"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2"/>
    </row>
    <row r="8" spans="1:19" ht="12" thickTop="1" x14ac:dyDescent="0.2">
      <c r="A8" t="s">
        <v>52</v>
      </c>
      <c r="M8" s="2"/>
    </row>
    <row r="9" spans="1:19" x14ac:dyDescent="0.2">
      <c r="A9" t="s">
        <v>53</v>
      </c>
      <c r="C9" s="10" t="s">
        <v>65</v>
      </c>
      <c r="M9" s="2"/>
      <c r="N9" s="17"/>
    </row>
    <row r="10" spans="1:19" x14ac:dyDescent="0.2">
      <c r="A10" t="s">
        <v>33</v>
      </c>
      <c r="M10" s="2"/>
      <c r="N10" t="s">
        <v>66</v>
      </c>
    </row>
    <row r="11" spans="1:19" x14ac:dyDescent="0.2">
      <c r="A11" s="9" t="str">
        <f>TEXT($N$23,"m/d")</f>
        <v>9/30</v>
      </c>
      <c r="B11" s="9"/>
      <c r="C11" s="125">
        <f>N11</f>
        <v>15</v>
      </c>
      <c r="D11" s="125">
        <f>C11+12</f>
        <v>27</v>
      </c>
      <c r="E11" s="125">
        <f t="shared" ref="E11:K11" si="0">D11+12</f>
        <v>39</v>
      </c>
      <c r="F11" s="125">
        <f t="shared" si="0"/>
        <v>51</v>
      </c>
      <c r="G11" s="125">
        <f t="shared" si="0"/>
        <v>63</v>
      </c>
      <c r="H11" s="125">
        <f t="shared" si="0"/>
        <v>75</v>
      </c>
      <c r="I11" s="125">
        <f t="shared" si="0"/>
        <v>87</v>
      </c>
      <c r="J11" s="125">
        <f t="shared" si="0"/>
        <v>99</v>
      </c>
      <c r="K11" s="125">
        <f t="shared" si="0"/>
        <v>111</v>
      </c>
      <c r="L11" s="23"/>
      <c r="M11" s="2"/>
      <c r="N11" s="58">
        <f>(YEAR($O$23)-YEAR($N$23)+1)*12+MONTH($O$23)-MONTH($N$23)</f>
        <v>15</v>
      </c>
    </row>
    <row r="12" spans="1:19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9" x14ac:dyDescent="0.2">
      <c r="M13" s="2"/>
    </row>
    <row r="14" spans="1:19" x14ac:dyDescent="0.2">
      <c r="A14" t="str">
        <f t="shared" ref="A14:A22" si="2">TEXT(A15-1,"#")</f>
        <v>2014</v>
      </c>
      <c r="B14" s="23"/>
      <c r="C14" s="157">
        <f>ROUND('[2]EC LDF'!B55/1000,0)</f>
        <v>157426</v>
      </c>
      <c r="D14" s="157">
        <f>ROUND('[2]EC LDF'!C55/1000,0)</f>
        <v>183366</v>
      </c>
      <c r="E14" s="157">
        <f>ROUND('[2]EC LDF'!D55/1000,0)</f>
        <v>190278</v>
      </c>
      <c r="F14" s="157">
        <f>ROUND('[2]EC LDF'!E55/1000,0)</f>
        <v>191866</v>
      </c>
      <c r="G14" s="157">
        <f>ROUND('[2]EC LDF'!F55/1000,0)</f>
        <v>192056</v>
      </c>
      <c r="H14" s="157">
        <f>ROUND('[2]EC LDF'!G55/1000,0)</f>
        <v>192342</v>
      </c>
      <c r="I14" s="157">
        <f>ROUND('[2]EC LDF'!H55/1000,0)</f>
        <v>192403</v>
      </c>
      <c r="J14" s="157">
        <f>ROUND('[2]EC LDF'!I55/1000,0)</f>
        <v>192425</v>
      </c>
      <c r="K14" s="157">
        <f>ROUND('[2]EC LDF'!J55/1000,0)</f>
        <v>192453</v>
      </c>
      <c r="L14" s="53"/>
      <c r="M14" s="2"/>
    </row>
    <row r="15" spans="1:19" x14ac:dyDescent="0.2">
      <c r="A15" t="str">
        <f t="shared" si="2"/>
        <v>2015</v>
      </c>
      <c r="B15" s="23"/>
      <c r="C15" s="157">
        <f>ROUND('[2]EC LDF'!B59/1000,0)</f>
        <v>183266</v>
      </c>
      <c r="D15" s="157">
        <f>ROUND('[2]EC LDF'!C59/1000,0)</f>
        <v>204239</v>
      </c>
      <c r="E15" s="157">
        <f>ROUND('[2]EC LDF'!D59/1000,0)</f>
        <v>208541</v>
      </c>
      <c r="F15" s="157">
        <f>ROUND('[2]EC LDF'!E59/1000,0)</f>
        <v>209008</v>
      </c>
      <c r="G15" s="157">
        <f>ROUND('[2]EC LDF'!F59/1000,0)</f>
        <v>209335</v>
      </c>
      <c r="H15" s="157">
        <f>ROUND('[2]EC LDF'!G59/1000,0)</f>
        <v>209189</v>
      </c>
      <c r="I15" s="157">
        <f>ROUND('[2]EC LDF'!H59/1000,0)</f>
        <v>209282</v>
      </c>
      <c r="J15" s="157">
        <f>ROUND('[2]EC LDF'!I59/1000,0)</f>
        <v>209327</v>
      </c>
      <c r="K15" s="157">
        <f>ROUND('[2]EC LDF'!J59/1000,0)</f>
        <v>209327</v>
      </c>
      <c r="L15" s="53"/>
      <c r="M15" s="2"/>
    </row>
    <row r="16" spans="1:19" x14ac:dyDescent="0.2">
      <c r="A16" t="str">
        <f t="shared" si="2"/>
        <v>2016</v>
      </c>
      <c r="B16" s="23"/>
      <c r="C16" s="157">
        <f>ROUND('[2]EC LDF'!B63/1000,0)</f>
        <v>498092</v>
      </c>
      <c r="D16" s="157">
        <f>ROUND('[2]EC LDF'!C63/1000,0)</f>
        <v>556120</v>
      </c>
      <c r="E16" s="157">
        <f>ROUND('[2]EC LDF'!D63/1000,0)</f>
        <v>562298</v>
      </c>
      <c r="F16" s="157">
        <f>ROUND('[2]EC LDF'!E63/1000,0)</f>
        <v>564014</v>
      </c>
      <c r="G16" s="157">
        <f>ROUND('[2]EC LDF'!F63/1000,0)</f>
        <v>564747</v>
      </c>
      <c r="H16" s="157">
        <f>ROUND('[2]EC LDF'!G63/1000,0)</f>
        <v>565099</v>
      </c>
      <c r="I16" s="157">
        <f>ROUND('[2]EC LDF'!H63/1000,0)</f>
        <v>565153</v>
      </c>
      <c r="J16" s="157">
        <f>ROUND('[2]EC LDF'!I63/1000,0)</f>
        <v>565168</v>
      </c>
      <c r="K16" s="157"/>
      <c r="L16" s="53"/>
      <c r="M16" s="2"/>
    </row>
    <row r="17" spans="1:15" x14ac:dyDescent="0.2">
      <c r="A17" t="str">
        <f>TEXT(A18-1,"#")</f>
        <v>2017</v>
      </c>
      <c r="B17" s="23"/>
      <c r="C17" s="157">
        <f>ROUND('[2]EC LDF'!B67/1000,0)</f>
        <v>665247</v>
      </c>
      <c r="D17" s="157">
        <f>ROUND('[2]EC LDF'!C67/1000,0)</f>
        <v>791814</v>
      </c>
      <c r="E17" s="157">
        <f>ROUND('[2]EC LDF'!D67/1000,0)</f>
        <v>816792</v>
      </c>
      <c r="F17" s="157">
        <f>ROUND('[2]EC LDF'!E67/1000,0)</f>
        <v>822536</v>
      </c>
      <c r="G17" s="157">
        <f>ROUND('[2]EC LDF'!F67/1000,0)</f>
        <v>825860</v>
      </c>
      <c r="H17" s="157">
        <f>ROUND('[2]EC LDF'!G67/1000,0)</f>
        <v>825686</v>
      </c>
      <c r="I17" s="157">
        <f>ROUND('[2]EC LDF'!H67/1000,0)</f>
        <v>826174</v>
      </c>
      <c r="J17" s="157"/>
      <c r="K17" s="157"/>
      <c r="L17" s="53"/>
      <c r="M17" s="2"/>
    </row>
    <row r="18" spans="1:15" x14ac:dyDescent="0.2">
      <c r="A18" t="str">
        <f t="shared" si="2"/>
        <v>2018</v>
      </c>
      <c r="B18" s="23"/>
      <c r="C18" s="157">
        <f>ROUND('[2]EC LDF'!B71/1000,0)</f>
        <v>186500</v>
      </c>
      <c r="D18" s="157">
        <f>ROUND('[2]EC LDF'!C71/1000,0)</f>
        <v>218189</v>
      </c>
      <c r="E18" s="157">
        <f>ROUND('[2]EC LDF'!D71/1000,0)</f>
        <v>220721</v>
      </c>
      <c r="F18" s="157">
        <f>ROUND('[2]EC LDF'!E71/1000,0)</f>
        <v>221225</v>
      </c>
      <c r="G18" s="157">
        <f>ROUND('[2]EC LDF'!F71/1000,0)</f>
        <v>221202</v>
      </c>
      <c r="H18" s="157">
        <f>ROUND('[2]EC LDF'!G71/1000,0)</f>
        <v>221253</v>
      </c>
      <c r="I18" s="157"/>
      <c r="J18" s="157"/>
      <c r="K18" s="157"/>
      <c r="L18" s="53"/>
      <c r="M18" s="2"/>
    </row>
    <row r="19" spans="1:15" x14ac:dyDescent="0.2">
      <c r="A19" t="str">
        <f t="shared" si="2"/>
        <v>2019</v>
      </c>
      <c r="B19" s="23"/>
      <c r="C19" s="157">
        <f>ROUND('[2]EC LDF'!B75/1000,0)</f>
        <v>283698</v>
      </c>
      <c r="D19" s="157">
        <f>ROUND('[2]EC LDF'!C75/1000,0)</f>
        <v>318858</v>
      </c>
      <c r="E19" s="157">
        <f>ROUND('[2]EC LDF'!D75/1000,0)</f>
        <v>324431</v>
      </c>
      <c r="F19" s="157">
        <f>ROUND('[2]EC LDF'!E75/1000,0)</f>
        <v>325280</v>
      </c>
      <c r="G19" s="157">
        <f>ROUND('[2]EC LDF'!F75/1000,0)</f>
        <v>325477</v>
      </c>
      <c r="H19" s="157"/>
      <c r="I19" s="157"/>
      <c r="J19" s="157"/>
      <c r="K19" s="157"/>
      <c r="L19" s="53"/>
      <c r="M19" s="2"/>
    </row>
    <row r="20" spans="1:15" x14ac:dyDescent="0.2">
      <c r="A20" t="str">
        <f t="shared" si="2"/>
        <v>2020</v>
      </c>
      <c r="B20" s="23"/>
      <c r="C20" s="157">
        <f>ROUND('[2]EC LDF'!B79/1000,0)</f>
        <v>338256</v>
      </c>
      <c r="D20" s="157">
        <f>ROUND('[2]EC LDF'!C79/1000,0)</f>
        <v>390286</v>
      </c>
      <c r="E20" s="157">
        <f>ROUND('[2]EC LDF'!D79/1000,0)</f>
        <v>398056</v>
      </c>
      <c r="F20" s="157">
        <f>ROUND('[2]EC LDF'!E79/1000,0)</f>
        <v>400109</v>
      </c>
      <c r="G20" s="157"/>
      <c r="H20" s="157"/>
      <c r="I20" s="157"/>
      <c r="J20" s="157"/>
      <c r="K20" s="157"/>
      <c r="L20" s="53"/>
      <c r="M20" s="2"/>
    </row>
    <row r="21" spans="1:15" x14ac:dyDescent="0.2">
      <c r="A21" t="str">
        <f t="shared" si="2"/>
        <v>2021</v>
      </c>
      <c r="B21" s="23"/>
      <c r="C21" s="157">
        <f>ROUND('[2]EC LDF'!B83/1000,0)</f>
        <v>421926</v>
      </c>
      <c r="D21" s="157">
        <f>ROUND('[2]EC LDF'!C83/1000,0)</f>
        <v>488001</v>
      </c>
      <c r="E21" s="157">
        <f>ROUND('[2]EC LDF'!D83/1000,0)</f>
        <v>492939</v>
      </c>
      <c r="F21" s="157"/>
      <c r="G21" s="157"/>
      <c r="H21" s="157"/>
      <c r="I21" s="157"/>
      <c r="J21" s="157"/>
      <c r="K21" s="157"/>
      <c r="L21" s="53"/>
      <c r="M21" s="2"/>
    </row>
    <row r="22" spans="1:15" x14ac:dyDescent="0.2">
      <c r="A22" t="str">
        <f t="shared" si="2"/>
        <v>2022</v>
      </c>
      <c r="B22" s="23"/>
      <c r="C22" s="157">
        <f>ROUND('[2]EC LDF'!B87/1000,0)</f>
        <v>255496</v>
      </c>
      <c r="D22" s="157">
        <f>ROUND('[2]EC LDF'!C87/1000,0)</f>
        <v>298212</v>
      </c>
      <c r="E22" s="157"/>
      <c r="F22" s="157"/>
      <c r="G22" s="157"/>
      <c r="H22" s="157"/>
      <c r="I22" s="157"/>
      <c r="J22" s="157"/>
      <c r="K22" s="157"/>
      <c r="L22" s="53"/>
      <c r="M22" s="2"/>
      <c r="N22" t="s">
        <v>198</v>
      </c>
      <c r="O22" t="s">
        <v>199</v>
      </c>
    </row>
    <row r="23" spans="1:15" x14ac:dyDescent="0.2">
      <c r="A23" t="str">
        <f>TEXT(YEAR($N$23),"#")</f>
        <v>2023</v>
      </c>
      <c r="B23" s="23"/>
      <c r="C23" s="157">
        <f>ROUND('[2]EC LDF'!B91/1000,0)</f>
        <v>580738</v>
      </c>
      <c r="D23" s="157"/>
      <c r="E23" s="157"/>
      <c r="F23" s="157"/>
      <c r="G23" s="157"/>
      <c r="H23" s="157"/>
      <c r="I23" s="157"/>
      <c r="J23" s="157"/>
      <c r="K23" s="157"/>
      <c r="L23" s="53"/>
      <c r="M23" s="2"/>
      <c r="N23" s="55">
        <f>'[2]EC LDF'!$B$1</f>
        <v>45199</v>
      </c>
      <c r="O23" s="55">
        <f>'[2]EC LDF'!$B$2</f>
        <v>45291</v>
      </c>
    </row>
    <row r="24" spans="1:15" x14ac:dyDescent="0.2">
      <c r="A24" s="9"/>
      <c r="B24" s="2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"/>
      <c r="N24" s="55"/>
    </row>
    <row r="25" spans="1:15" x14ac:dyDescent="0.2">
      <c r="A25" t="str">
        <f>A8</f>
        <v>Accident</v>
      </c>
      <c r="M25" s="2"/>
    </row>
    <row r="26" spans="1:15" x14ac:dyDescent="0.2">
      <c r="A26" t="str">
        <f t="shared" ref="A26:A28" si="3">A9</f>
        <v>Year</v>
      </c>
      <c r="C26" s="10" t="s">
        <v>67</v>
      </c>
      <c r="M26" s="2"/>
    </row>
    <row r="27" spans="1:15" x14ac:dyDescent="0.2">
      <c r="A27" t="str">
        <f t="shared" si="3"/>
        <v>Ending</v>
      </c>
      <c r="M27" s="2"/>
    </row>
    <row r="28" spans="1:15" x14ac:dyDescent="0.2">
      <c r="A28" s="9" t="str">
        <f t="shared" si="3"/>
        <v>9/30</v>
      </c>
      <c r="B28" s="9"/>
      <c r="C28" s="125" t="str">
        <f>N11&amp;" - "&amp;D11</f>
        <v>15 - 27</v>
      </c>
      <c r="D28" s="125" t="str">
        <f t="shared" ref="D28:J28" si="4">D11&amp;" - "&amp;E11</f>
        <v>27 - 39</v>
      </c>
      <c r="E28" s="125" t="str">
        <f t="shared" si="4"/>
        <v>39 - 51</v>
      </c>
      <c r="F28" s="125" t="str">
        <f t="shared" si="4"/>
        <v>51 - 63</v>
      </c>
      <c r="G28" s="125" t="str">
        <f t="shared" si="4"/>
        <v>63 - 75</v>
      </c>
      <c r="H28" s="125" t="str">
        <f t="shared" si="4"/>
        <v>75 - 87</v>
      </c>
      <c r="I28" s="125" t="str">
        <f t="shared" si="4"/>
        <v>87 - 99</v>
      </c>
      <c r="J28" s="125" t="str">
        <f t="shared" si="4"/>
        <v>99 - 111</v>
      </c>
      <c r="K28" s="125" t="str">
        <f>K11&amp;" - Ult"</f>
        <v>111 - Ult</v>
      </c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5">TEXT(COLUMN()-1,"(#)")</f>
        <v>(2)</v>
      </c>
      <c r="D29" s="11" t="str">
        <f t="shared" si="5"/>
        <v>(3)</v>
      </c>
      <c r="E29" s="11" t="str">
        <f t="shared" si="5"/>
        <v>(4)</v>
      </c>
      <c r="F29" s="11" t="str">
        <f t="shared" si="5"/>
        <v>(5)</v>
      </c>
      <c r="G29" s="11" t="str">
        <f t="shared" si="5"/>
        <v>(6)</v>
      </c>
      <c r="H29" s="11" t="str">
        <f t="shared" si="5"/>
        <v>(7)</v>
      </c>
      <c r="I29" s="11" t="str">
        <f t="shared" si="5"/>
        <v>(8)</v>
      </c>
      <c r="J29" s="11" t="str">
        <f t="shared" si="5"/>
        <v>(9)</v>
      </c>
      <c r="K29" s="11" t="str">
        <f t="shared" si="5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6">A14</f>
        <v>2014</v>
      </c>
      <c r="B31" s="23"/>
      <c r="C31" s="32">
        <f>IF(ISNUMBER(D14),D14/C14,"")</f>
        <v>1.1647758311841754</v>
      </c>
      <c r="D31" s="32">
        <f t="shared" ref="D31:J31" si="7">IF(ISNUMBER(E14),E14/D14,"")</f>
        <v>1.0376951016000786</v>
      </c>
      <c r="E31" s="32">
        <f t="shared" si="7"/>
        <v>1.0083456836838731</v>
      </c>
      <c r="F31" s="32">
        <f t="shared" si="7"/>
        <v>1.0009902744623853</v>
      </c>
      <c r="G31" s="32">
        <f t="shared" si="7"/>
        <v>1.001489148998209</v>
      </c>
      <c r="H31" s="32">
        <f t="shared" si="7"/>
        <v>1.0003171434216136</v>
      </c>
      <c r="I31" s="32">
        <f t="shared" si="7"/>
        <v>1.000114343331445</v>
      </c>
      <c r="J31" s="32">
        <f t="shared" si="7"/>
        <v>1.0001455112381448</v>
      </c>
      <c r="K31" s="32">
        <v>1</v>
      </c>
      <c r="L31" s="32"/>
      <c r="M31" s="2"/>
    </row>
    <row r="32" spans="1:15" x14ac:dyDescent="0.2">
      <c r="A32" t="str">
        <f t="shared" si="6"/>
        <v>2015</v>
      </c>
      <c r="B32" s="23"/>
      <c r="C32" s="32">
        <f t="shared" ref="C32:J39" si="8">IF(ISNUMBER(D15),D15/C15,"")</f>
        <v>1.1144402125871684</v>
      </c>
      <c r="D32" s="32">
        <f t="shared" si="8"/>
        <v>1.0210635578905107</v>
      </c>
      <c r="E32" s="32">
        <f t="shared" si="8"/>
        <v>1.0022393677981787</v>
      </c>
      <c r="F32" s="32">
        <f t="shared" si="8"/>
        <v>1.001564533414989</v>
      </c>
      <c r="G32" s="32">
        <f t="shared" si="8"/>
        <v>0.99930255332362006</v>
      </c>
      <c r="H32" s="32">
        <f t="shared" si="8"/>
        <v>1.0004445740454804</v>
      </c>
      <c r="I32" s="32">
        <f t="shared" si="8"/>
        <v>1.0002150208809166</v>
      </c>
      <c r="J32" s="32">
        <f t="shared" si="8"/>
        <v>1</v>
      </c>
      <c r="K32" s="32" t="str">
        <f t="shared" ref="K32:K39" si="9">IF(ISNUMBER(M15),M15/K15,"")</f>
        <v/>
      </c>
      <c r="L32" s="32"/>
      <c r="M32" s="2"/>
    </row>
    <row r="33" spans="1:25" x14ac:dyDescent="0.2">
      <c r="A33" t="str">
        <f t="shared" si="6"/>
        <v>2016</v>
      </c>
      <c r="B33" s="23"/>
      <c r="C33" s="32">
        <f t="shared" si="8"/>
        <v>1.1165005661604683</v>
      </c>
      <c r="D33" s="32">
        <f t="shared" si="8"/>
        <v>1.0111091131410488</v>
      </c>
      <c r="E33" s="32">
        <f t="shared" si="8"/>
        <v>1.0030517625885207</v>
      </c>
      <c r="F33" s="32">
        <f t="shared" si="8"/>
        <v>1.0012996131301706</v>
      </c>
      <c r="G33" s="32">
        <f t="shared" si="8"/>
        <v>1.0006232879501795</v>
      </c>
      <c r="H33" s="32">
        <f t="shared" si="8"/>
        <v>1.0000955584773641</v>
      </c>
      <c r="I33" s="32">
        <f t="shared" si="8"/>
        <v>1.0000265414852261</v>
      </c>
      <c r="J33" s="32" t="str">
        <f t="shared" si="8"/>
        <v/>
      </c>
      <c r="K33" s="32" t="str">
        <f t="shared" si="9"/>
        <v/>
      </c>
      <c r="L33" s="32"/>
      <c r="M33" s="2"/>
    </row>
    <row r="34" spans="1:25" x14ac:dyDescent="0.2">
      <c r="A34" t="str">
        <f t="shared" si="6"/>
        <v>2017</v>
      </c>
      <c r="B34" s="23"/>
      <c r="C34" s="32">
        <f t="shared" si="8"/>
        <v>1.1902556494054088</v>
      </c>
      <c r="D34" s="32">
        <f t="shared" si="8"/>
        <v>1.0315452871507702</v>
      </c>
      <c r="E34" s="32">
        <f t="shared" si="8"/>
        <v>1.0070323901311473</v>
      </c>
      <c r="F34" s="32">
        <f t="shared" si="8"/>
        <v>1.0040411605084762</v>
      </c>
      <c r="G34" s="32">
        <f t="shared" si="8"/>
        <v>0.9997893105368949</v>
      </c>
      <c r="H34" s="32">
        <f t="shared" si="8"/>
        <v>1.0005910237063484</v>
      </c>
      <c r="I34" s="32" t="str">
        <f t="shared" si="8"/>
        <v/>
      </c>
      <c r="J34" s="32" t="str">
        <f t="shared" si="8"/>
        <v/>
      </c>
      <c r="K34" s="32" t="str">
        <f t="shared" si="9"/>
        <v/>
      </c>
      <c r="L34" s="32"/>
      <c r="M34" s="2"/>
    </row>
    <row r="35" spans="1:25" x14ac:dyDescent="0.2">
      <c r="A35" t="str">
        <f t="shared" si="6"/>
        <v>2018</v>
      </c>
      <c r="B35" s="23"/>
      <c r="C35" s="32">
        <f t="shared" si="8"/>
        <v>1.1699142091152814</v>
      </c>
      <c r="D35" s="32">
        <f t="shared" si="8"/>
        <v>1.011604618014657</v>
      </c>
      <c r="E35" s="32">
        <f t="shared" si="8"/>
        <v>1.002283425682196</v>
      </c>
      <c r="F35" s="32">
        <f t="shared" si="8"/>
        <v>0.99989603345010736</v>
      </c>
      <c r="G35" s="32">
        <f t="shared" si="8"/>
        <v>1.0002305584940461</v>
      </c>
      <c r="H35" s="32" t="str">
        <f t="shared" si="8"/>
        <v/>
      </c>
      <c r="I35" s="32" t="str">
        <f t="shared" si="8"/>
        <v/>
      </c>
      <c r="J35" s="32" t="str">
        <f t="shared" si="8"/>
        <v/>
      </c>
      <c r="K35" s="32" t="str">
        <f t="shared" si="9"/>
        <v/>
      </c>
      <c r="L35" s="32"/>
      <c r="M35" s="2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t="str">
        <f t="shared" si="6"/>
        <v>2019</v>
      </c>
      <c r="B36" s="23"/>
      <c r="C36" s="32">
        <f t="shared" si="8"/>
        <v>1.123934606518199</v>
      </c>
      <c r="D36" s="32">
        <f t="shared" si="8"/>
        <v>1.0174779996111121</v>
      </c>
      <c r="E36" s="32">
        <f t="shared" si="8"/>
        <v>1.002616889261507</v>
      </c>
      <c r="F36" s="32">
        <f t="shared" si="8"/>
        <v>1.0006056320708312</v>
      </c>
      <c r="G36" s="32" t="str">
        <f t="shared" si="8"/>
        <v/>
      </c>
      <c r="H36" s="32" t="str">
        <f t="shared" si="8"/>
        <v/>
      </c>
      <c r="I36" s="32" t="str">
        <f t="shared" si="8"/>
        <v/>
      </c>
      <c r="J36" s="32" t="str">
        <f t="shared" si="8"/>
        <v/>
      </c>
      <c r="K36" s="32" t="str">
        <f t="shared" si="9"/>
        <v/>
      </c>
      <c r="L36" s="32"/>
      <c r="M36" s="2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t="str">
        <f t="shared" si="6"/>
        <v>2020</v>
      </c>
      <c r="B37" s="23"/>
      <c r="C37" s="32">
        <f t="shared" si="8"/>
        <v>1.1538184097251785</v>
      </c>
      <c r="D37" s="32">
        <f t="shared" si="8"/>
        <v>1.0199084773730034</v>
      </c>
      <c r="E37" s="32">
        <f t="shared" si="8"/>
        <v>1.0051575657696405</v>
      </c>
      <c r="F37" s="32" t="str">
        <f t="shared" si="8"/>
        <v/>
      </c>
      <c r="G37" s="32" t="str">
        <f t="shared" si="8"/>
        <v/>
      </c>
      <c r="H37" s="32" t="str">
        <f t="shared" si="8"/>
        <v/>
      </c>
      <c r="I37" s="32" t="str">
        <f t="shared" si="8"/>
        <v/>
      </c>
      <c r="J37" s="32" t="str">
        <f t="shared" si="8"/>
        <v/>
      </c>
      <c r="K37" s="32" t="str">
        <f t="shared" si="9"/>
        <v/>
      </c>
      <c r="L37" s="32"/>
      <c r="M37" s="2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t="str">
        <f t="shared" si="6"/>
        <v>2021</v>
      </c>
      <c r="B38" s="23"/>
      <c r="C38" s="32">
        <f t="shared" si="8"/>
        <v>1.1566032906244224</v>
      </c>
      <c r="D38" s="32">
        <f t="shared" si="8"/>
        <v>1.0101188317237055</v>
      </c>
      <c r="E38" s="32" t="str">
        <f t="shared" si="8"/>
        <v/>
      </c>
      <c r="F38" s="32" t="str">
        <f t="shared" si="8"/>
        <v/>
      </c>
      <c r="G38" s="32" t="str">
        <f t="shared" si="8"/>
        <v/>
      </c>
      <c r="H38" s="32" t="str">
        <f t="shared" si="8"/>
        <v/>
      </c>
      <c r="I38" s="32" t="str">
        <f t="shared" si="8"/>
        <v/>
      </c>
      <c r="J38" s="32" t="str">
        <f t="shared" si="8"/>
        <v/>
      </c>
      <c r="K38" s="32" t="str">
        <f t="shared" si="9"/>
        <v/>
      </c>
      <c r="L38" s="32"/>
      <c r="M38" s="2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t="str">
        <f t="shared" si="6"/>
        <v>2022</v>
      </c>
      <c r="B39" s="23"/>
      <c r="C39" s="32">
        <f>IF(ISNUMBER(D22),D22/C22,"")</f>
        <v>1.1671885274133451</v>
      </c>
      <c r="D39" s="32" t="str">
        <f t="shared" si="8"/>
        <v/>
      </c>
      <c r="E39" s="32" t="str">
        <f t="shared" si="8"/>
        <v/>
      </c>
      <c r="F39" s="32" t="str">
        <f t="shared" si="8"/>
        <v/>
      </c>
      <c r="G39" s="32" t="str">
        <f t="shared" si="8"/>
        <v/>
      </c>
      <c r="H39" s="32" t="str">
        <f t="shared" si="8"/>
        <v/>
      </c>
      <c r="I39" s="32" t="str">
        <f t="shared" si="8"/>
        <v/>
      </c>
      <c r="J39" s="32" t="str">
        <f t="shared" si="8"/>
        <v/>
      </c>
      <c r="K39" s="32" t="str">
        <f t="shared" si="9"/>
        <v/>
      </c>
      <c r="L39" s="32"/>
      <c r="M39" s="2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9"/>
      <c r="B40" s="24"/>
      <c r="C40" s="33"/>
      <c r="D40" s="33"/>
      <c r="E40" s="33"/>
      <c r="F40" s="33"/>
      <c r="G40" s="33"/>
      <c r="H40" s="33"/>
      <c r="I40" s="33"/>
      <c r="J40" s="33"/>
      <c r="K40" s="33"/>
      <c r="M40" s="2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C41" s="19"/>
      <c r="M41" s="2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t="s">
        <v>68</v>
      </c>
      <c r="B42" s="23"/>
      <c r="C42" s="34">
        <f>AVERAGE(C31:C39)</f>
        <v>1.1508257003037385</v>
      </c>
      <c r="D42" s="34">
        <f t="shared" ref="D42:J42" si="10">AVERAGE(D31:D39)</f>
        <v>1.0200653733131109</v>
      </c>
      <c r="E42" s="34">
        <f t="shared" si="10"/>
        <v>1.0043895835592946</v>
      </c>
      <c r="F42" s="34">
        <f t="shared" si="10"/>
        <v>1.0013995411728265</v>
      </c>
      <c r="G42" s="34">
        <f t="shared" si="10"/>
        <v>1.0002869718605898</v>
      </c>
      <c r="H42" s="34">
        <f t="shared" si="10"/>
        <v>1.0003620749127018</v>
      </c>
      <c r="I42" s="34">
        <f t="shared" si="10"/>
        <v>1.0001186352325291</v>
      </c>
      <c r="J42" s="34">
        <f t="shared" si="10"/>
        <v>1.0000727556190725</v>
      </c>
      <c r="K42" s="29">
        <v>1</v>
      </c>
      <c r="M42" s="2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t="s">
        <v>69</v>
      </c>
      <c r="B43" s="23"/>
      <c r="C43" s="34">
        <f>AVERAGE(C35:C39)</f>
        <v>1.1542918086792855</v>
      </c>
      <c r="D43" s="34">
        <f>AVERAGE(D34:D38)</f>
        <v>1.0181310427746495</v>
      </c>
      <c r="E43" s="34">
        <f>AVERAGE(E33:E37)</f>
        <v>1.0040284066866023</v>
      </c>
      <c r="F43" s="34">
        <f>AVERAGE(F32:F36)</f>
        <v>1.001481394514915</v>
      </c>
      <c r="G43" s="34">
        <f>AVERAGE(G31:G35)</f>
        <v>1.0002869718605898</v>
      </c>
      <c r="H43" s="34">
        <f>AVERAGE(H31:H34)</f>
        <v>1.0003620749127018</v>
      </c>
      <c r="I43" s="34">
        <f>AVERAGE(I31:I33)</f>
        <v>1.0001186352325291</v>
      </c>
      <c r="J43" s="34">
        <f>AVERAGE(J31:J32)</f>
        <v>1.0000727556190725</v>
      </c>
      <c r="M43" s="2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t="s">
        <v>243</v>
      </c>
      <c r="C44" s="69">
        <v>1.1491982040948301</v>
      </c>
      <c r="D44" s="69">
        <v>1.0255138723097215</v>
      </c>
      <c r="E44" s="69">
        <v>1.004566606590698</v>
      </c>
      <c r="F44" s="69">
        <v>1.0020014883150934</v>
      </c>
      <c r="G44" s="69">
        <v>1.0002459936906611</v>
      </c>
      <c r="H44" s="69">
        <v>1.0002191089616537</v>
      </c>
      <c r="I44" s="69">
        <v>1.000211972257784</v>
      </c>
      <c r="J44" s="69">
        <v>1.000085524728044</v>
      </c>
      <c r="K44" s="69">
        <v>1</v>
      </c>
      <c r="L44" s="69"/>
      <c r="M44" s="2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t="s">
        <v>70</v>
      </c>
      <c r="C45" s="35">
        <f>1*C42+0*C44</f>
        <v>1.1508257003037385</v>
      </c>
      <c r="D45" s="35">
        <f t="shared" ref="D45:J45" si="11">1*D42+0*D44</f>
        <v>1.0200653733131109</v>
      </c>
      <c r="E45" s="35">
        <f t="shared" si="11"/>
        <v>1.0043895835592946</v>
      </c>
      <c r="F45" s="35">
        <f t="shared" si="11"/>
        <v>1.0013995411728265</v>
      </c>
      <c r="G45" s="35">
        <f t="shared" si="11"/>
        <v>1.0002869718605898</v>
      </c>
      <c r="H45" s="35">
        <f t="shared" si="11"/>
        <v>1.0003620749127018</v>
      </c>
      <c r="I45" s="35">
        <f t="shared" si="11"/>
        <v>1.0001186352325291</v>
      </c>
      <c r="J45" s="35">
        <f t="shared" si="11"/>
        <v>1.0000727556190725</v>
      </c>
      <c r="K45" s="35">
        <f>AVERAGE(K42,K44)</f>
        <v>1</v>
      </c>
      <c r="L45" s="35"/>
      <c r="M45" s="2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t="s">
        <v>294</v>
      </c>
      <c r="C46" s="29">
        <f t="shared" ref="C46:J46" si="12">ROUND(C45*D46,3)</f>
        <v>1.18</v>
      </c>
      <c r="D46" s="29">
        <f t="shared" si="12"/>
        <v>1.0249999999999999</v>
      </c>
      <c r="E46" s="29">
        <f t="shared" si="12"/>
        <v>1.0049999999999999</v>
      </c>
      <c r="F46" s="29">
        <f t="shared" si="12"/>
        <v>1.0009999999999999</v>
      </c>
      <c r="G46" s="29">
        <f t="shared" si="12"/>
        <v>1</v>
      </c>
      <c r="H46" s="29">
        <f t="shared" si="12"/>
        <v>1</v>
      </c>
      <c r="I46" s="29">
        <f t="shared" si="12"/>
        <v>1</v>
      </c>
      <c r="J46" s="29">
        <f t="shared" si="12"/>
        <v>1</v>
      </c>
      <c r="K46" s="29">
        <v>1</v>
      </c>
      <c r="M46" s="2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25" ht="12" thickTop="1" x14ac:dyDescent="0.2">
      <c r="A48" t="s">
        <v>17</v>
      </c>
      <c r="M48" s="2"/>
    </row>
    <row r="49" spans="1:13" x14ac:dyDescent="0.2">
      <c r="B49" s="1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>
    <tabColor rgb="FF00FF00"/>
    <pageSetUpPr fitToPage="1"/>
  </sheetPr>
  <dimension ref="A1:T71"/>
  <sheetViews>
    <sheetView showGridLines="0" workbookViewId="0"/>
  </sheetViews>
  <sheetFormatPr defaultColWidth="11.33203125" defaultRowHeight="11.25" x14ac:dyDescent="0.2"/>
  <cols>
    <col min="1" max="1" width="4.5" bestFit="1" customWidth="1"/>
    <col min="2" max="2" width="3.5" customWidth="1"/>
    <col min="3" max="3" width="14.33203125" style="11" customWidth="1"/>
    <col min="4" max="4" width="11.1640625" bestFit="1" customWidth="1"/>
    <col min="5" max="5" width="9.33203125" customWidth="1"/>
    <col min="6" max="6" width="15.6640625" customWidth="1"/>
    <col min="7" max="12" width="12.6640625" customWidth="1"/>
    <col min="17" max="18" width="12.1640625" bestFit="1" customWidth="1"/>
    <col min="19" max="19" width="9.1640625" bestFit="1" customWidth="1"/>
    <col min="20" max="20" width="12.1640625" bestFit="1" customWidth="1"/>
  </cols>
  <sheetData>
    <row r="1" spans="1:19" x14ac:dyDescent="0.2">
      <c r="A1" s="8" t="str">
        <f>'1'!$A$1</f>
        <v>Texas Windstorm Insurance Association</v>
      </c>
      <c r="L1" s="7" t="s">
        <v>64</v>
      </c>
      <c r="M1" s="1"/>
      <c r="Q1" t="s">
        <v>369</v>
      </c>
      <c r="R1" t="s">
        <v>372</v>
      </c>
    </row>
    <row r="2" spans="1:19" x14ac:dyDescent="0.2">
      <c r="A2" s="8" t="str">
        <f>'1'!$A$2</f>
        <v>Residential Property - Wind &amp; Hail</v>
      </c>
      <c r="L2" s="7" t="s">
        <v>81</v>
      </c>
      <c r="M2" s="2"/>
    </row>
    <row r="3" spans="1:19" x14ac:dyDescent="0.2">
      <c r="A3" s="8" t="str">
        <f>'1'!$A$3</f>
        <v>Rate Level Review</v>
      </c>
      <c r="M3" s="2"/>
    </row>
    <row r="4" spans="1:19" x14ac:dyDescent="0.2">
      <c r="A4" t="s">
        <v>209</v>
      </c>
      <c r="M4" s="2"/>
    </row>
    <row r="5" spans="1:19" x14ac:dyDescent="0.2">
      <c r="A5" t="s">
        <v>460</v>
      </c>
      <c r="M5" s="2"/>
    </row>
    <row r="6" spans="1:19" x14ac:dyDescent="0.2">
      <c r="M6" s="2"/>
    </row>
    <row r="7" spans="1:19" ht="12" thickBot="1" x14ac:dyDescent="0.25">
      <c r="A7" s="6"/>
      <c r="B7" s="6"/>
      <c r="C7" s="104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9" ht="12" thickTop="1" x14ac:dyDescent="0.2">
      <c r="D8" s="11"/>
      <c r="E8" s="11"/>
      <c r="F8" s="11"/>
      <c r="G8" s="11"/>
      <c r="H8" s="11"/>
      <c r="I8" s="11"/>
      <c r="J8" s="11"/>
      <c r="K8" s="11"/>
      <c r="L8" s="11"/>
      <c r="M8" s="2"/>
    </row>
    <row r="9" spans="1:19" x14ac:dyDescent="0.2">
      <c r="D9" s="194"/>
      <c r="E9" s="11"/>
      <c r="F9" s="11"/>
      <c r="G9" s="11" t="s">
        <v>297</v>
      </c>
      <c r="H9" s="11" t="s">
        <v>459</v>
      </c>
      <c r="I9" s="235" t="s">
        <v>264</v>
      </c>
      <c r="J9" s="235"/>
      <c r="K9" s="235"/>
      <c r="L9" s="235"/>
      <c r="M9" s="2"/>
    </row>
    <row r="10" spans="1:19" x14ac:dyDescent="0.2">
      <c r="A10" t="s">
        <v>211</v>
      </c>
      <c r="C10" s="11" t="s">
        <v>296</v>
      </c>
      <c r="D10" s="11" t="s">
        <v>210</v>
      </c>
      <c r="E10" s="11" t="s">
        <v>456</v>
      </c>
      <c r="F10" s="11" t="s">
        <v>193</v>
      </c>
      <c r="G10" s="11" t="s">
        <v>68</v>
      </c>
      <c r="H10" s="11" t="s">
        <v>68</v>
      </c>
      <c r="I10" s="13"/>
      <c r="J10" s="13"/>
      <c r="K10" s="13"/>
      <c r="L10" s="13"/>
      <c r="M10" s="2"/>
      <c r="N10" s="11" t="s">
        <v>212</v>
      </c>
    </row>
    <row r="11" spans="1:19" x14ac:dyDescent="0.2">
      <c r="A11" s="9" t="s">
        <v>213</v>
      </c>
      <c r="B11" s="9"/>
      <c r="C11" s="125" t="s">
        <v>210</v>
      </c>
      <c r="D11" s="125" t="s">
        <v>113</v>
      </c>
      <c r="E11" s="125" t="s">
        <v>269</v>
      </c>
      <c r="F11" s="125" t="s">
        <v>263</v>
      </c>
      <c r="G11" s="125" t="s">
        <v>458</v>
      </c>
      <c r="H11" s="125" t="s">
        <v>458</v>
      </c>
      <c r="I11" s="125" t="s">
        <v>265</v>
      </c>
      <c r="J11" s="125" t="s">
        <v>258</v>
      </c>
      <c r="K11" s="125" t="s">
        <v>259</v>
      </c>
      <c r="L11" s="125" t="s">
        <v>260</v>
      </c>
      <c r="M11" s="2"/>
      <c r="N11" s="11" t="s">
        <v>33</v>
      </c>
      <c r="O11" s="123" t="s">
        <v>214</v>
      </c>
    </row>
    <row r="12" spans="1:19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4" t="s">
        <v>109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9" x14ac:dyDescent="0.2">
      <c r="M13" s="2"/>
    </row>
    <row r="14" spans="1:19" x14ac:dyDescent="0.2">
      <c r="A14" t="str">
        <f t="shared" ref="A14:A48" si="1">YEAR(N14)&amp;" / "&amp;MONTH(N14)/3</f>
        <v>2014 / 2</v>
      </c>
      <c r="C14" s="156">
        <f>'[2]TWIA 4 Premium Trend'!F34</f>
        <v>79155</v>
      </c>
      <c r="D14" s="157">
        <f>'[2]TWIA 4 Premium Trend'!E34</f>
        <v>111616003</v>
      </c>
      <c r="E14" s="158">
        <f>'[2]TWIA 5'!J364</f>
        <v>1.2554550258753752</v>
      </c>
      <c r="F14" s="138">
        <f>D14*E14</f>
        <v>140128871.93447095</v>
      </c>
      <c r="G14" s="236">
        <f>F14/C14</f>
        <v>1770.3097964054191</v>
      </c>
      <c r="H14" s="236"/>
      <c r="I14" s="236"/>
      <c r="J14" s="236"/>
      <c r="K14" s="236"/>
      <c r="L14" s="236"/>
      <c r="M14" s="2"/>
      <c r="N14" s="47">
        <f t="shared" ref="N14:N43" si="2">DATE(YEAR(N15+1),MONTH(N15+1)-3,1)-1</f>
        <v>41820</v>
      </c>
      <c r="O14">
        <f t="shared" ref="O14:O48" si="3">YEAR(N14)+MONTH(N14)/12</f>
        <v>2014.5</v>
      </c>
      <c r="S14" s="34"/>
    </row>
    <row r="15" spans="1:19" x14ac:dyDescent="0.2">
      <c r="A15" t="str">
        <f t="shared" si="1"/>
        <v>2014 / 3</v>
      </c>
      <c r="C15" s="156">
        <f>'[2]TWIA 4 Premium Trend'!F35</f>
        <v>89874</v>
      </c>
      <c r="D15" s="157">
        <f>'[2]TWIA 4 Premium Trend'!E35</f>
        <v>128096479</v>
      </c>
      <c r="E15" s="158">
        <f>'[2]TWIA 5'!J365</f>
        <v>1.2366826048351114</v>
      </c>
      <c r="F15" s="138">
        <f t="shared" ref="F15:F51" si="4">D15*E15</f>
        <v>158414687.31992614</v>
      </c>
      <c r="G15" s="236">
        <f t="shared" ref="G15:G52" si="5">F15/C15</f>
        <v>1762.6308756695612</v>
      </c>
      <c r="H15" s="236"/>
      <c r="I15" s="236"/>
      <c r="J15" s="236"/>
      <c r="K15" s="236"/>
      <c r="L15" s="236"/>
      <c r="M15" s="2"/>
      <c r="N15" s="47">
        <f t="shared" si="2"/>
        <v>41912</v>
      </c>
      <c r="O15">
        <f t="shared" si="3"/>
        <v>2014.75</v>
      </c>
      <c r="S15" s="34"/>
    </row>
    <row r="16" spans="1:19" x14ac:dyDescent="0.2">
      <c r="A16" t="str">
        <f t="shared" si="1"/>
        <v>2014 / 4</v>
      </c>
      <c r="C16" s="156">
        <f>'[2]TWIA 4 Premium Trend'!F36</f>
        <v>60646</v>
      </c>
      <c r="D16" s="157">
        <f>'[2]TWIA 4 Premium Trend'!E36</f>
        <v>86711448</v>
      </c>
      <c r="E16" s="158">
        <f>'[2]TWIA 5'!J366</f>
        <v>1.2211286903055869</v>
      </c>
      <c r="F16" s="138">
        <f t="shared" si="4"/>
        <v>105885836.930741</v>
      </c>
      <c r="G16" s="236">
        <f t="shared" si="5"/>
        <v>1745.965717949098</v>
      </c>
      <c r="H16" s="236"/>
      <c r="I16" s="236"/>
      <c r="J16" s="236"/>
      <c r="K16" s="236"/>
      <c r="L16" s="236"/>
      <c r="M16" s="2"/>
      <c r="N16" s="47">
        <f t="shared" si="2"/>
        <v>42004</v>
      </c>
      <c r="O16">
        <f t="shared" si="3"/>
        <v>2015</v>
      </c>
      <c r="S16" s="34"/>
    </row>
    <row r="17" spans="1:19" x14ac:dyDescent="0.2">
      <c r="A17" t="str">
        <f t="shared" si="1"/>
        <v>2015 / 1</v>
      </c>
      <c r="C17" s="156">
        <f>'[2]TWIA 4 Premium Trend'!F37</f>
        <v>57651</v>
      </c>
      <c r="D17" s="157">
        <f>'[2]TWIA 4 Premium Trend'!E37</f>
        <v>85327979</v>
      </c>
      <c r="E17" s="158">
        <f>'[2]TWIA 5'!J367</f>
        <v>1.209879350760346</v>
      </c>
      <c r="F17" s="138">
        <f t="shared" si="4"/>
        <v>103236559.83421244</v>
      </c>
      <c r="G17" s="236">
        <f t="shared" si="5"/>
        <v>1790.7158563461594</v>
      </c>
      <c r="H17" s="237">
        <f>IFERROR(SUM(F14:F17)/SUM(C14:C17),0)</f>
        <v>1766.8639664330778</v>
      </c>
      <c r="I17" s="238">
        <f>GROWTH($H$17:$H$52,$O$17:$O$52,$O17,1)</f>
        <v>1690.7047803676921</v>
      </c>
      <c r="J17" s="236"/>
      <c r="K17" s="236"/>
      <c r="L17" s="236"/>
      <c r="M17" s="2"/>
      <c r="N17" s="47">
        <f t="shared" si="2"/>
        <v>42094</v>
      </c>
      <c r="O17">
        <f t="shared" si="3"/>
        <v>2015.25</v>
      </c>
      <c r="Q17" s="34"/>
      <c r="S17" s="34"/>
    </row>
    <row r="18" spans="1:19" x14ac:dyDescent="0.2">
      <c r="A18" t="str">
        <f t="shared" si="1"/>
        <v>2015 / 2</v>
      </c>
      <c r="B18" s="23"/>
      <c r="C18" s="156">
        <f>'[2]TWIA 4 Premium Trend'!F38</f>
        <v>82158</v>
      </c>
      <c r="D18" s="157">
        <f>'[2]TWIA 4 Premium Trend'!E38</f>
        <v>122581230</v>
      </c>
      <c r="E18" s="158">
        <f>'[2]TWIA 5'!J368</f>
        <v>1.1957431804796248</v>
      </c>
      <c r="F18" s="138">
        <f t="shared" si="4"/>
        <v>146575669.82730439</v>
      </c>
      <c r="G18" s="236">
        <f t="shared" si="5"/>
        <v>1784.0705692361596</v>
      </c>
      <c r="H18" s="237">
        <f>IFERROR(SUM(F15:F18)/SUM(C15:C18),0)</f>
        <v>1770.7936648153784</v>
      </c>
      <c r="I18" s="238">
        <f t="shared" ref="I18:I51" si="6">GROWTH($H$17:$H$52,$O$17:$O$52,$O18,1)</f>
        <v>1698.1249069553724</v>
      </c>
      <c r="J18" s="236"/>
      <c r="K18" s="236"/>
      <c r="L18" s="236"/>
      <c r="M18" s="2"/>
      <c r="N18" s="47">
        <f t="shared" si="2"/>
        <v>42185</v>
      </c>
      <c r="O18">
        <f t="shared" si="3"/>
        <v>2015.5</v>
      </c>
      <c r="Q18" s="34"/>
      <c r="S18" s="34"/>
    </row>
    <row r="19" spans="1:19" x14ac:dyDescent="0.2">
      <c r="A19" t="str">
        <f t="shared" si="1"/>
        <v>2015 / 3</v>
      </c>
      <c r="C19" s="156">
        <f>'[2]TWIA 4 Premium Trend'!F39</f>
        <v>84402</v>
      </c>
      <c r="D19" s="157">
        <f>'[2]TWIA 4 Premium Trend'!E39</f>
        <v>127421809</v>
      </c>
      <c r="E19" s="158">
        <f>'[2]TWIA 5'!J369</f>
        <v>1.1782858445697197</v>
      </c>
      <c r="F19" s="138">
        <f t="shared" si="4"/>
        <v>150139313.83416653</v>
      </c>
      <c r="G19" s="236">
        <f t="shared" si="5"/>
        <v>1778.8596696069587</v>
      </c>
      <c r="H19" s="237">
        <f t="shared" ref="H19:H51" si="7">IFERROR(SUM(F16:F19)/SUM(C16:C19),0)</f>
        <v>1775.7589963610667</v>
      </c>
      <c r="I19" s="238">
        <f t="shared" si="6"/>
        <v>1705.5775988254222</v>
      </c>
      <c r="J19" s="236"/>
      <c r="K19" s="236"/>
      <c r="L19" s="236"/>
      <c r="M19" s="2"/>
      <c r="N19" s="47">
        <f t="shared" si="2"/>
        <v>42277</v>
      </c>
      <c r="O19">
        <f t="shared" si="3"/>
        <v>2015.75</v>
      </c>
      <c r="P19" s="116"/>
      <c r="Q19" s="34"/>
      <c r="S19" s="34"/>
    </row>
    <row r="20" spans="1:19" x14ac:dyDescent="0.2">
      <c r="A20" t="str">
        <f t="shared" si="1"/>
        <v>2015 / 4</v>
      </c>
      <c r="C20" s="156">
        <f>'[2]TWIA 4 Premium Trend'!F40</f>
        <v>57308</v>
      </c>
      <c r="D20" s="157">
        <f>'[2]TWIA 4 Premium Trend'!E40</f>
        <v>87342988</v>
      </c>
      <c r="E20" s="158">
        <f>'[2]TWIA 5'!J370</f>
        <v>1.1631939660098261</v>
      </c>
      <c r="F20" s="138">
        <f t="shared" si="4"/>
        <v>101596836.61486864</v>
      </c>
      <c r="G20" s="236">
        <f t="shared" si="5"/>
        <v>1772.8211875282445</v>
      </c>
      <c r="H20" s="237">
        <f t="shared" si="7"/>
        <v>1781.5791478037079</v>
      </c>
      <c r="I20" s="238">
        <f t="shared" si="6"/>
        <v>1713.0629988996232</v>
      </c>
      <c r="J20" s="236"/>
      <c r="K20" s="236"/>
      <c r="L20" s="236"/>
      <c r="M20" s="2"/>
      <c r="N20" s="47">
        <f t="shared" si="2"/>
        <v>42369</v>
      </c>
      <c r="O20">
        <f t="shared" si="3"/>
        <v>2016</v>
      </c>
      <c r="P20" s="116"/>
      <c r="Q20" s="34"/>
      <c r="S20" s="34"/>
    </row>
    <row r="21" spans="1:19" x14ac:dyDescent="0.2">
      <c r="A21" t="str">
        <f t="shared" si="1"/>
        <v>2016 / 1</v>
      </c>
      <c r="C21" s="156">
        <f>'[2]TWIA 4 Premium Trend'!F41</f>
        <v>54113</v>
      </c>
      <c r="D21" s="157">
        <f>'[2]TWIA 4 Premium Trend'!E41</f>
        <v>84557230</v>
      </c>
      <c r="E21" s="158">
        <f>'[2]TWIA 5'!J371</f>
        <v>1.1526095563201246</v>
      </c>
      <c r="F21" s="138">
        <f t="shared" si="4"/>
        <v>97461471.353958726</v>
      </c>
      <c r="G21" s="236">
        <f t="shared" si="5"/>
        <v>1801.0731497784031</v>
      </c>
      <c r="H21" s="237">
        <f t="shared" si="7"/>
        <v>1783.4790565912715</v>
      </c>
      <c r="I21" s="238">
        <f t="shared" si="6"/>
        <v>1720.5812507269713</v>
      </c>
      <c r="J21" s="236"/>
      <c r="K21" s="236"/>
      <c r="L21" s="236"/>
      <c r="M21" s="2"/>
      <c r="N21" s="47">
        <f t="shared" si="2"/>
        <v>42460</v>
      </c>
      <c r="O21">
        <f t="shared" si="3"/>
        <v>2016.25</v>
      </c>
      <c r="P21" s="116"/>
      <c r="Q21" s="34"/>
      <c r="S21" s="34"/>
    </row>
    <row r="22" spans="1:19" x14ac:dyDescent="0.2">
      <c r="A22" t="str">
        <f t="shared" si="1"/>
        <v>2016 / 2</v>
      </c>
      <c r="B22" s="23"/>
      <c r="C22" s="156">
        <f>'[2]TWIA 4 Premium Trend'!F42</f>
        <v>79991</v>
      </c>
      <c r="D22" s="157">
        <f>'[2]TWIA 4 Premium Trend'!E42</f>
        <v>125845764</v>
      </c>
      <c r="E22" s="158">
        <f>'[2]TWIA 5'!J372</f>
        <v>1.1390546968233883</v>
      </c>
      <c r="F22" s="138">
        <f t="shared" si="4"/>
        <v>143345208.55952767</v>
      </c>
      <c r="G22" s="236">
        <f t="shared" si="5"/>
        <v>1792.0167088738442</v>
      </c>
      <c r="H22" s="237">
        <f t="shared" si="7"/>
        <v>1785.7789320430491</v>
      </c>
      <c r="I22" s="238">
        <f t="shared" si="6"/>
        <v>1728.1324984865041</v>
      </c>
      <c r="J22" s="236"/>
      <c r="K22" s="236"/>
      <c r="L22" s="236"/>
      <c r="M22" s="2"/>
      <c r="N22" s="47">
        <f t="shared" si="2"/>
        <v>42551</v>
      </c>
      <c r="O22">
        <f t="shared" si="3"/>
        <v>2016.5</v>
      </c>
      <c r="P22" s="116"/>
      <c r="Q22" s="34"/>
      <c r="S22" s="34"/>
    </row>
    <row r="23" spans="1:19" x14ac:dyDescent="0.2">
      <c r="A23" t="str">
        <f t="shared" si="1"/>
        <v>2016 / 3</v>
      </c>
      <c r="B23" s="23"/>
      <c r="C23" s="156">
        <f>'[2]TWIA 4 Premium Trend'!F43</f>
        <v>77932</v>
      </c>
      <c r="D23" s="157">
        <f>'[2]TWIA 4 Premium Trend'!E43</f>
        <v>123784247</v>
      </c>
      <c r="E23" s="158">
        <f>'[2]TWIA 5'!J373</f>
        <v>1.1215581054592252</v>
      </c>
      <c r="F23" s="138">
        <f t="shared" si="4"/>
        <v>138831225.55101678</v>
      </c>
      <c r="G23" s="236">
        <f t="shared" si="5"/>
        <v>1781.4405578070212</v>
      </c>
      <c r="H23" s="237">
        <f t="shared" si="7"/>
        <v>1786.6918961601959</v>
      </c>
      <c r="I23" s="238">
        <f t="shared" si="6"/>
        <v>1735.7168869900158</v>
      </c>
      <c r="J23" s="236"/>
      <c r="K23" s="236"/>
      <c r="L23" s="236"/>
      <c r="M23" s="2"/>
      <c r="N23" s="47">
        <f t="shared" si="2"/>
        <v>42643</v>
      </c>
      <c r="O23">
        <f t="shared" si="3"/>
        <v>2016.75</v>
      </c>
      <c r="P23" s="117"/>
      <c r="Q23" s="34"/>
      <c r="S23" s="34"/>
    </row>
    <row r="24" spans="1:19" x14ac:dyDescent="0.2">
      <c r="A24" t="str">
        <f t="shared" si="1"/>
        <v>2016 / 4</v>
      </c>
      <c r="B24" s="23"/>
      <c r="C24" s="156">
        <f>'[2]TWIA 4 Premium Trend'!F44</f>
        <v>51030</v>
      </c>
      <c r="D24" s="157">
        <f>'[2]TWIA 4 Premium Trend'!E44</f>
        <v>81959449</v>
      </c>
      <c r="E24" s="158">
        <f>'[2]TWIA 5'!J374</f>
        <v>1.1079450605128376</v>
      </c>
      <c r="F24" s="138">
        <f t="shared" si="4"/>
        <v>90806566.681903824</v>
      </c>
      <c r="G24" s="236">
        <f t="shared" si="5"/>
        <v>1779.4741658221403</v>
      </c>
      <c r="H24" s="237">
        <f t="shared" si="7"/>
        <v>1788.3134732211954</v>
      </c>
      <c r="I24" s="238">
        <f t="shared" si="6"/>
        <v>1743.3345616848485</v>
      </c>
      <c r="J24" s="236"/>
      <c r="K24" s="236"/>
      <c r="L24" s="236"/>
      <c r="M24" s="2"/>
      <c r="N24" s="47">
        <f t="shared" si="2"/>
        <v>42735</v>
      </c>
      <c r="O24">
        <f t="shared" si="3"/>
        <v>2017</v>
      </c>
      <c r="P24" s="117"/>
      <c r="Q24" s="34"/>
      <c r="S24" s="34"/>
    </row>
    <row r="25" spans="1:19" x14ac:dyDescent="0.2">
      <c r="A25" t="str">
        <f t="shared" si="1"/>
        <v>2017 / 1</v>
      </c>
      <c r="B25" s="23"/>
      <c r="C25" s="156">
        <f>'[2]TWIA 4 Premium Trend'!F45</f>
        <v>50991</v>
      </c>
      <c r="D25" s="157">
        <f>'[2]TWIA 4 Premium Trend'!E45</f>
        <v>79037984</v>
      </c>
      <c r="E25" s="158">
        <f>'[2]TWIA 5'!J375</f>
        <v>1.1025</v>
      </c>
      <c r="F25" s="138">
        <f t="shared" si="4"/>
        <v>87139377.359999999</v>
      </c>
      <c r="G25" s="236">
        <f t="shared" si="5"/>
        <v>1708.9168159086898</v>
      </c>
      <c r="H25" s="237">
        <f>IFERROR(SUM(F22:F25)/SUM(C22:C25),0)</f>
        <v>1770.0827030146813</v>
      </c>
      <c r="I25" s="238">
        <f t="shared" si="6"/>
        <v>1750.9856686566793</v>
      </c>
      <c r="J25" s="238"/>
      <c r="K25" s="238"/>
      <c r="L25" s="238"/>
      <c r="M25" s="2"/>
      <c r="N25" s="47">
        <f t="shared" si="2"/>
        <v>42825</v>
      </c>
      <c r="O25">
        <f t="shared" si="3"/>
        <v>2017.25</v>
      </c>
      <c r="P25" s="117"/>
      <c r="Q25" s="34"/>
      <c r="S25" s="34"/>
    </row>
    <row r="26" spans="1:19" x14ac:dyDescent="0.2">
      <c r="A26" t="str">
        <f t="shared" si="1"/>
        <v>2017 / 2</v>
      </c>
      <c r="B26" s="23"/>
      <c r="C26" s="156">
        <f>'[2]TWIA 4 Premium Trend'!F46</f>
        <v>73614</v>
      </c>
      <c r="D26" s="157">
        <f>'[2]TWIA 4 Premium Trend'!E46</f>
        <v>114547681</v>
      </c>
      <c r="E26" s="158">
        <f>'[2]TWIA 5'!J376</f>
        <v>1.1025</v>
      </c>
      <c r="F26" s="138">
        <f t="shared" si="4"/>
        <v>126288818.30250001</v>
      </c>
      <c r="G26" s="236">
        <f>F26/C26</f>
        <v>1715.5543551837966</v>
      </c>
      <c r="H26" s="237">
        <f t="shared" si="7"/>
        <v>1747.3330042766629</v>
      </c>
      <c r="I26" s="238">
        <f t="shared" si="6"/>
        <v>1758.6703546323233</v>
      </c>
      <c r="J26" s="238"/>
      <c r="K26" s="238"/>
      <c r="L26" s="238"/>
      <c r="M26" s="2"/>
      <c r="N26" s="47">
        <f t="shared" si="2"/>
        <v>42916</v>
      </c>
      <c r="O26">
        <f t="shared" si="3"/>
        <v>2017.5</v>
      </c>
      <c r="P26" s="117"/>
      <c r="Q26" s="34"/>
      <c r="S26" s="34"/>
    </row>
    <row r="27" spans="1:19" x14ac:dyDescent="0.2">
      <c r="A27" t="str">
        <f t="shared" si="1"/>
        <v>2017 / 3</v>
      </c>
      <c r="B27" s="23"/>
      <c r="C27" s="156">
        <f>'[2]TWIA 4 Premium Trend'!F47</f>
        <v>68864</v>
      </c>
      <c r="D27" s="157">
        <f>'[2]TWIA 4 Premium Trend'!E47</f>
        <v>108614623</v>
      </c>
      <c r="E27" s="158">
        <f>'[2]TWIA 5'!J377</f>
        <v>1.1025</v>
      </c>
      <c r="F27" s="138">
        <f t="shared" si="4"/>
        <v>119747621.8575</v>
      </c>
      <c r="G27" s="236">
        <f t="shared" si="5"/>
        <v>1738.9001779957598</v>
      </c>
      <c r="H27" s="237">
        <f t="shared" si="7"/>
        <v>1734.0863733671872</v>
      </c>
      <c r="I27" s="238">
        <f t="shared" si="6"/>
        <v>1766.3887669825467</v>
      </c>
      <c r="J27" s="238"/>
      <c r="K27" s="238"/>
      <c r="L27" s="238"/>
      <c r="M27" s="2"/>
      <c r="N27" s="47">
        <f t="shared" si="2"/>
        <v>43008</v>
      </c>
      <c r="O27">
        <f t="shared" si="3"/>
        <v>2017.75</v>
      </c>
      <c r="P27" s="117"/>
      <c r="Q27" s="34"/>
      <c r="S27" s="34"/>
    </row>
    <row r="28" spans="1:19" x14ac:dyDescent="0.2">
      <c r="A28" t="str">
        <f t="shared" si="1"/>
        <v>2017 / 4</v>
      </c>
      <c r="B28" s="23"/>
      <c r="C28" s="156">
        <f>'[2]TWIA 4 Premium Trend'!F48</f>
        <v>45960</v>
      </c>
      <c r="D28" s="157">
        <f>'[2]TWIA 4 Premium Trend'!E48</f>
        <v>73697340</v>
      </c>
      <c r="E28" s="158">
        <f>'[2]TWIA 5'!J378</f>
        <v>1.1025</v>
      </c>
      <c r="F28" s="138">
        <f t="shared" si="4"/>
        <v>81251317.350000009</v>
      </c>
      <c r="G28" s="236">
        <f t="shared" si="5"/>
        <v>1767.8702643603135</v>
      </c>
      <c r="H28" s="237">
        <f>IFERROR(SUM(F25:F28)/SUM(C25:C28),0)</f>
        <v>1730.8978230289567</v>
      </c>
      <c r="I28" s="238">
        <f>GROWTH($H$17:$H$52,$O$17:$O$52,$O28,1)</f>
        <v>1774.1410537248933</v>
      </c>
      <c r="J28" s="238"/>
      <c r="K28" s="238"/>
      <c r="L28" s="238"/>
      <c r="M28" s="2"/>
      <c r="N28" s="47">
        <f t="shared" si="2"/>
        <v>43100</v>
      </c>
      <c r="O28">
        <f t="shared" si="3"/>
        <v>2018</v>
      </c>
      <c r="P28" s="117"/>
      <c r="Q28" s="34"/>
      <c r="S28" s="34"/>
    </row>
    <row r="29" spans="1:19" x14ac:dyDescent="0.2">
      <c r="A29" t="str">
        <f t="shared" si="1"/>
        <v>2018 / 1</v>
      </c>
      <c r="B29" s="23"/>
      <c r="C29" s="156">
        <f>'[2]TWIA 4 Premium Trend'!F49</f>
        <v>44101</v>
      </c>
      <c r="D29" s="157">
        <f>'[2]TWIA 4 Premium Trend'!E49</f>
        <v>71679332</v>
      </c>
      <c r="E29" s="158">
        <f>'[2]TWIA 5'!J379</f>
        <v>1.0977035943920979</v>
      </c>
      <c r="F29" s="138">
        <f t="shared" si="4"/>
        <v>78682660.380024523</v>
      </c>
      <c r="G29" s="236">
        <f t="shared" si="5"/>
        <v>1784.1468533598902</v>
      </c>
      <c r="H29" s="237">
        <f t="shared" si="7"/>
        <v>1745.8164776232138</v>
      </c>
      <c r="I29" s="238">
        <f t="shared" si="6"/>
        <v>1781.9273635265224</v>
      </c>
      <c r="J29" s="238"/>
      <c r="K29" s="238"/>
      <c r="L29" s="238"/>
      <c r="M29" s="2"/>
      <c r="N29" s="47">
        <f t="shared" si="2"/>
        <v>43190</v>
      </c>
      <c r="O29">
        <f t="shared" si="3"/>
        <v>2018.25</v>
      </c>
      <c r="P29" s="117"/>
      <c r="Q29" s="34"/>
      <c r="S29" s="34"/>
    </row>
    <row r="30" spans="1:19" x14ac:dyDescent="0.2">
      <c r="A30" t="str">
        <f t="shared" si="1"/>
        <v>2018 / 2</v>
      </c>
      <c r="B30" s="23"/>
      <c r="C30" s="156">
        <f>'[2]TWIA 4 Premium Trend'!F50</f>
        <v>63851</v>
      </c>
      <c r="D30" s="157">
        <f>'[2]TWIA 4 Premium Trend'!E50</f>
        <v>104163394</v>
      </c>
      <c r="E30" s="158">
        <f>'[2]TWIA 5'!J380</f>
        <v>1.0847791225980552</v>
      </c>
      <c r="F30" s="138">
        <f t="shared" si="4"/>
        <v>112994275.15015553</v>
      </c>
      <c r="G30" s="236">
        <f t="shared" si="5"/>
        <v>1769.6555284984656</v>
      </c>
      <c r="H30" s="237">
        <f t="shared" si="7"/>
        <v>1762.6489152228251</v>
      </c>
      <c r="I30" s="238">
        <f t="shared" si="6"/>
        <v>1789.7478457070615</v>
      </c>
      <c r="J30" s="238"/>
      <c r="K30" s="238"/>
      <c r="L30" s="238"/>
      <c r="M30" s="2"/>
      <c r="N30" s="47">
        <f t="shared" si="2"/>
        <v>43281</v>
      </c>
      <c r="O30">
        <f t="shared" si="3"/>
        <v>2018.5</v>
      </c>
      <c r="P30" s="117"/>
      <c r="Q30" s="34"/>
      <c r="S30" s="34"/>
    </row>
    <row r="31" spans="1:19" x14ac:dyDescent="0.2">
      <c r="A31" t="str">
        <f t="shared" si="1"/>
        <v>2018 / 3</v>
      </c>
      <c r="B31" s="23"/>
      <c r="C31" s="156">
        <f>'[2]TWIA 4 Premium Trend'!F51</f>
        <v>61408</v>
      </c>
      <c r="D31" s="157">
        <f>'[2]TWIA 4 Premium Trend'!E51</f>
        <v>101951681</v>
      </c>
      <c r="E31" s="158">
        <f>'[2]TWIA 5'!J381</f>
        <v>1.0686047876661728</v>
      </c>
      <c r="F31" s="138">
        <f t="shared" si="4"/>
        <v>108946054.42721438</v>
      </c>
      <c r="G31" s="236">
        <f t="shared" si="5"/>
        <v>1774.1345496875713</v>
      </c>
      <c r="H31" s="237">
        <f t="shared" si="7"/>
        <v>1773.5199113291587</v>
      </c>
      <c r="I31" s="238">
        <f t="shared" si="6"/>
        <v>1797.602650241467</v>
      </c>
      <c r="J31" s="238"/>
      <c r="K31" s="238"/>
      <c r="L31" s="238"/>
      <c r="M31" s="2"/>
      <c r="N31" s="47">
        <f t="shared" si="2"/>
        <v>43373</v>
      </c>
      <c r="O31">
        <f t="shared" si="3"/>
        <v>2018.75</v>
      </c>
      <c r="P31" s="117"/>
      <c r="Q31" s="34"/>
      <c r="S31" s="34"/>
    </row>
    <row r="32" spans="1:19" x14ac:dyDescent="0.2">
      <c r="A32" t="str">
        <f t="shared" si="1"/>
        <v>2018 / 4</v>
      </c>
      <c r="C32" s="156">
        <f>'[2]TWIA 4 Premium Trend'!F52</f>
        <v>40418</v>
      </c>
      <c r="D32" s="157">
        <f>'[2]TWIA 4 Premium Trend'!E52</f>
        <v>68300637</v>
      </c>
      <c r="E32" s="158">
        <f>'[2]TWIA 5'!J382</f>
        <v>1.0552047637197421</v>
      </c>
      <c r="F32" s="138">
        <f t="shared" si="4"/>
        <v>72071157.527492881</v>
      </c>
      <c r="G32" s="236">
        <f t="shared" si="5"/>
        <v>1783.1450721830095</v>
      </c>
      <c r="H32" s="237">
        <f t="shared" si="7"/>
        <v>1776.6121685061698</v>
      </c>
      <c r="I32" s="238">
        <f t="shared" si="6"/>
        <v>1805.4919277629042</v>
      </c>
      <c r="J32" s="238"/>
      <c r="K32" s="238"/>
      <c r="L32" s="238"/>
      <c r="M32" s="2"/>
      <c r="N32" s="47">
        <f t="shared" si="2"/>
        <v>43465</v>
      </c>
      <c r="O32">
        <f t="shared" si="3"/>
        <v>2019</v>
      </c>
      <c r="P32" s="117"/>
      <c r="Q32" s="34"/>
      <c r="S32" s="34"/>
    </row>
    <row r="33" spans="1:20" x14ac:dyDescent="0.2">
      <c r="A33" t="str">
        <f t="shared" si="1"/>
        <v>2019 / 1</v>
      </c>
      <c r="C33" s="156">
        <f>'[2]TWIA 4 Premium Trend'!F53</f>
        <v>39758</v>
      </c>
      <c r="D33" s="157">
        <f>'[2]TWIA 4 Premium Trend'!E53</f>
        <v>65036872</v>
      </c>
      <c r="E33" s="158">
        <f>'[2]TWIA 5'!J383</f>
        <v>1.05</v>
      </c>
      <c r="F33" s="138">
        <f t="shared" si="4"/>
        <v>68288715.600000009</v>
      </c>
      <c r="G33" s="236">
        <f t="shared" si="5"/>
        <v>1717.6094270335532</v>
      </c>
      <c r="H33" s="237">
        <f t="shared" si="7"/>
        <v>1763.575840070401</v>
      </c>
      <c r="I33" s="238">
        <f t="shared" si="6"/>
        <v>1813.4158295656439</v>
      </c>
      <c r="J33" s="238">
        <f>GROWTH($H$33:$H$52,$O$33:$O$52,$O33,1)</f>
        <v>1670.312671323743</v>
      </c>
      <c r="K33" s="238"/>
      <c r="L33" s="238"/>
      <c r="M33" s="2"/>
      <c r="N33" s="47">
        <f t="shared" si="2"/>
        <v>43555</v>
      </c>
      <c r="O33">
        <f t="shared" si="3"/>
        <v>2019.25</v>
      </c>
      <c r="P33" s="117"/>
      <c r="Q33" s="34"/>
      <c r="R33" s="34"/>
      <c r="S33" s="34"/>
    </row>
    <row r="34" spans="1:20" x14ac:dyDescent="0.2">
      <c r="A34" t="str">
        <f t="shared" si="1"/>
        <v>2019 / 2</v>
      </c>
      <c r="C34" s="156">
        <f>'[2]TWIA 4 Premium Trend'!F54</f>
        <v>60805</v>
      </c>
      <c r="D34" s="157">
        <f>'[2]TWIA 4 Premium Trend'!E54</f>
        <v>99948528</v>
      </c>
      <c r="E34" s="158">
        <f>'[2]TWIA 5'!J384</f>
        <v>1.0500000000000003</v>
      </c>
      <c r="F34" s="138">
        <f t="shared" si="4"/>
        <v>104945954.40000002</v>
      </c>
      <c r="G34" s="236">
        <f t="shared" si="5"/>
        <v>1725.9428402269555</v>
      </c>
      <c r="H34" s="237">
        <f t="shared" si="7"/>
        <v>1750.3514615651411</v>
      </c>
      <c r="I34" s="238">
        <f t="shared" si="6"/>
        <v>1821.3745076079176</v>
      </c>
      <c r="J34" s="238">
        <f t="shared" ref="J34:J52" si="8">GROWTH($H$33:$H$52,$O$33:$O$52,$O34,1)</f>
        <v>1690.5797232943851</v>
      </c>
      <c r="K34" s="238"/>
      <c r="L34" s="238"/>
      <c r="M34" s="2"/>
      <c r="N34" s="47">
        <f t="shared" si="2"/>
        <v>43646</v>
      </c>
      <c r="O34">
        <f t="shared" si="3"/>
        <v>2019.5</v>
      </c>
      <c r="P34" s="117"/>
      <c r="Q34" s="34"/>
      <c r="R34" s="34"/>
      <c r="S34" s="34"/>
    </row>
    <row r="35" spans="1:20" x14ac:dyDescent="0.2">
      <c r="A35" t="str">
        <f t="shared" si="1"/>
        <v>2019 / 3</v>
      </c>
      <c r="C35" s="156">
        <f>'[2]TWIA 4 Premium Trend'!F55</f>
        <v>57547</v>
      </c>
      <c r="D35" s="157">
        <f>'[2]TWIA 4 Premium Trend'!E55</f>
        <v>97063357</v>
      </c>
      <c r="E35" s="158">
        <f>'[2]TWIA 5'!J385</f>
        <v>1.05</v>
      </c>
      <c r="F35" s="138">
        <f t="shared" si="4"/>
        <v>101916524.85000001</v>
      </c>
      <c r="G35" s="236">
        <f t="shared" si="5"/>
        <v>1771.0136905485952</v>
      </c>
      <c r="H35" s="237">
        <f>IFERROR(SUM(F32:F35)/SUM(C32:C35),0)</f>
        <v>1748.9842862341482</v>
      </c>
      <c r="I35" s="238">
        <f t="shared" si="6"/>
        <v>1829.3681145149048</v>
      </c>
      <c r="J35" s="238">
        <f t="shared" si="8"/>
        <v>1711.0926893400581</v>
      </c>
      <c r="K35" s="238"/>
      <c r="L35" s="238"/>
      <c r="M35" s="2"/>
      <c r="N35" s="47">
        <f t="shared" si="2"/>
        <v>43738</v>
      </c>
      <c r="O35">
        <f t="shared" si="3"/>
        <v>2019.75</v>
      </c>
      <c r="P35" s="117"/>
      <c r="Q35" s="34"/>
      <c r="R35" s="34"/>
      <c r="S35" s="34"/>
    </row>
    <row r="36" spans="1:20" x14ac:dyDescent="0.2">
      <c r="A36" t="str">
        <f t="shared" si="1"/>
        <v>2019 / 4</v>
      </c>
      <c r="C36" s="156">
        <f>'[2]TWIA 4 Premium Trend'!F56</f>
        <v>38375</v>
      </c>
      <c r="D36" s="157">
        <f>'[2]TWIA 4 Premium Trend'!E56</f>
        <v>65697652</v>
      </c>
      <c r="E36" s="158">
        <f>'[2]TWIA 5'!J386</f>
        <v>1.05</v>
      </c>
      <c r="F36" s="138">
        <f t="shared" si="4"/>
        <v>68982534.600000009</v>
      </c>
      <c r="G36" s="236">
        <f t="shared" si="5"/>
        <v>1797.5904781758959</v>
      </c>
      <c r="H36" s="237">
        <f t="shared" si="7"/>
        <v>1751.4503878158641</v>
      </c>
      <c r="I36" s="238">
        <f t="shared" si="6"/>
        <v>1837.396803581611</v>
      </c>
      <c r="J36" s="238">
        <f t="shared" si="8"/>
        <v>1731.8545533052986</v>
      </c>
      <c r="K36" s="238"/>
      <c r="L36" s="238"/>
      <c r="M36" s="2"/>
      <c r="N36" s="47">
        <f t="shared" si="2"/>
        <v>43830</v>
      </c>
      <c r="O36">
        <f t="shared" si="3"/>
        <v>2020</v>
      </c>
      <c r="P36" s="117"/>
      <c r="Q36" s="34"/>
      <c r="R36" s="34"/>
      <c r="S36" s="34"/>
    </row>
    <row r="37" spans="1:20" x14ac:dyDescent="0.2">
      <c r="A37" t="str">
        <f t="shared" si="1"/>
        <v>2020 / 1</v>
      </c>
      <c r="C37" s="156">
        <f>'[2]TWIA 4 Premium Trend'!F57</f>
        <v>38302</v>
      </c>
      <c r="D37" s="157">
        <f>'[2]TWIA 4 Premium Trend'!E57</f>
        <v>63498682</v>
      </c>
      <c r="E37" s="158">
        <f>'[2]TWIA 5'!J387</f>
        <v>1.05</v>
      </c>
      <c r="F37" s="138">
        <f t="shared" si="4"/>
        <v>66673616.100000001</v>
      </c>
      <c r="G37" s="236">
        <f t="shared" si="5"/>
        <v>1740.7345856613233</v>
      </c>
      <c r="H37" s="237">
        <f t="shared" si="7"/>
        <v>1756.2446095196101</v>
      </c>
      <c r="I37" s="238">
        <f t="shared" si="6"/>
        <v>1845.4607287758186</v>
      </c>
      <c r="J37" s="238">
        <f t="shared" si="8"/>
        <v>1752.8683352396808</v>
      </c>
      <c r="K37" s="238">
        <f>GROWTH($H$37:$H$52,$O$37:$O$52,$O37,1)</f>
        <v>1690.6006451362573</v>
      </c>
      <c r="L37" s="238"/>
      <c r="M37" s="2"/>
      <c r="N37" s="47">
        <f t="shared" si="2"/>
        <v>43921</v>
      </c>
      <c r="O37">
        <f t="shared" si="3"/>
        <v>2020.25</v>
      </c>
      <c r="P37" s="117"/>
      <c r="Q37" s="34"/>
      <c r="R37" s="34"/>
      <c r="S37" s="34"/>
      <c r="T37" s="34"/>
    </row>
    <row r="38" spans="1:20" x14ac:dyDescent="0.2">
      <c r="A38" t="str">
        <f t="shared" si="1"/>
        <v>2020 / 2</v>
      </c>
      <c r="C38" s="156">
        <f>'[2]TWIA 4 Premium Trend'!F58</f>
        <v>59374</v>
      </c>
      <c r="D38" s="157">
        <f>'[2]TWIA 4 Premium Trend'!E58</f>
        <v>98472763</v>
      </c>
      <c r="E38" s="158">
        <f>'[2]TWIA 5'!J388</f>
        <v>1.0500000000000003</v>
      </c>
      <c r="F38" s="138">
        <f t="shared" si="4"/>
        <v>103396401.15000002</v>
      </c>
      <c r="G38" s="236">
        <f t="shared" si="5"/>
        <v>1741.4424015562372</v>
      </c>
      <c r="H38" s="237">
        <f t="shared" si="7"/>
        <v>1761.2221030175933</v>
      </c>
      <c r="I38" s="238">
        <f t="shared" si="6"/>
        <v>1853.5600447410402</v>
      </c>
      <c r="J38" s="238">
        <f t="shared" si="8"/>
        <v>1774.1370918371153</v>
      </c>
      <c r="K38" s="238">
        <f t="shared" ref="K38:K52" si="9">GROWTH($H$37:$H$52,$O$37:$O$52,$O38,1)</f>
        <v>1717.6353623809152</v>
      </c>
      <c r="L38" s="238"/>
      <c r="M38" s="2"/>
      <c r="N38" s="47">
        <f t="shared" si="2"/>
        <v>44012</v>
      </c>
      <c r="O38">
        <f t="shared" si="3"/>
        <v>2020.5</v>
      </c>
      <c r="P38" s="117"/>
      <c r="Q38" s="34"/>
      <c r="R38" s="34"/>
      <c r="S38" s="34"/>
      <c r="T38" s="34"/>
    </row>
    <row r="39" spans="1:20" x14ac:dyDescent="0.2">
      <c r="A39" t="str">
        <f t="shared" si="1"/>
        <v>2020 / 3</v>
      </c>
      <c r="B39" s="13"/>
      <c r="C39" s="156">
        <f>'[2]TWIA 4 Premium Trend'!F59</f>
        <v>57963</v>
      </c>
      <c r="D39" s="157">
        <f>'[2]TWIA 4 Premium Trend'!E59</f>
        <v>98544861</v>
      </c>
      <c r="E39" s="158">
        <f>'[2]TWIA 5'!J389</f>
        <v>1.05</v>
      </c>
      <c r="F39" s="138">
        <f t="shared" si="4"/>
        <v>103472104.05</v>
      </c>
      <c r="G39" s="236">
        <f t="shared" si="5"/>
        <v>1785.1405905491433</v>
      </c>
      <c r="H39" s="237">
        <f t="shared" si="7"/>
        <v>1765.4636052037483</v>
      </c>
      <c r="I39" s="238">
        <f t="shared" si="6"/>
        <v>1861.6949067994849</v>
      </c>
      <c r="J39" s="238">
        <f t="shared" si="8"/>
        <v>1795.6639168804834</v>
      </c>
      <c r="K39" s="238">
        <f t="shared" si="9"/>
        <v>1745.1023969434948</v>
      </c>
      <c r="L39" s="238"/>
      <c r="M39" s="2"/>
      <c r="N39" s="47">
        <f t="shared" si="2"/>
        <v>44104</v>
      </c>
      <c r="O39">
        <f t="shared" si="3"/>
        <v>2020.75</v>
      </c>
      <c r="P39" s="117"/>
      <c r="Q39" s="34"/>
      <c r="R39" s="34"/>
      <c r="S39" s="34"/>
      <c r="T39" s="34"/>
    </row>
    <row r="40" spans="1:20" x14ac:dyDescent="0.2">
      <c r="A40" t="str">
        <f t="shared" si="1"/>
        <v>2020 / 4</v>
      </c>
      <c r="C40" s="156">
        <f>'[2]TWIA 4 Premium Trend'!F60</f>
        <v>37911</v>
      </c>
      <c r="D40" s="157">
        <f>'[2]TWIA 4 Premium Trend'!E60</f>
        <v>65820531</v>
      </c>
      <c r="E40" s="158">
        <f>'[2]TWIA 5'!J390</f>
        <v>1.05</v>
      </c>
      <c r="F40" s="138">
        <f>D40*E40</f>
        <v>69111557.549999997</v>
      </c>
      <c r="G40" s="236">
        <f t="shared" si="5"/>
        <v>1822.9948445042335</v>
      </c>
      <c r="H40" s="237">
        <f t="shared" si="7"/>
        <v>1770.362587703436</v>
      </c>
      <c r="I40" s="238">
        <f t="shared" si="6"/>
        <v>1869.8654709550358</v>
      </c>
      <c r="J40" s="238">
        <f t="shared" si="8"/>
        <v>1817.4519416916598</v>
      </c>
      <c r="K40" s="238">
        <f t="shared" si="9"/>
        <v>1773.0086620926043</v>
      </c>
      <c r="L40" s="238"/>
      <c r="M40" s="2"/>
      <c r="N40" s="47">
        <f t="shared" si="2"/>
        <v>44196</v>
      </c>
      <c r="O40">
        <f t="shared" si="3"/>
        <v>2021</v>
      </c>
      <c r="P40" s="117"/>
      <c r="Q40" s="34"/>
      <c r="R40" s="34"/>
      <c r="S40" s="34"/>
      <c r="T40" s="34"/>
    </row>
    <row r="41" spans="1:20" x14ac:dyDescent="0.2">
      <c r="A41" t="str">
        <f t="shared" si="1"/>
        <v>2021 / 1</v>
      </c>
      <c r="B41" s="23"/>
      <c r="C41" s="156">
        <f>'[2]TWIA 4 Premium Trend'!F61</f>
        <v>39057</v>
      </c>
      <c r="D41" s="157">
        <f>'[2]TWIA 4 Premium Trend'!E61</f>
        <v>66582420</v>
      </c>
      <c r="E41" s="158">
        <f>'[2]TWIA 5'!J391</f>
        <v>1.0499999999999998</v>
      </c>
      <c r="F41" s="138">
        <f t="shared" si="4"/>
        <v>69911540.999999985</v>
      </c>
      <c r="G41" s="236">
        <f t="shared" si="5"/>
        <v>1789.9874798371607</v>
      </c>
      <c r="H41" s="237">
        <f t="shared" si="7"/>
        <v>1780.1477252258048</v>
      </c>
      <c r="I41" s="238">
        <f t="shared" si="6"/>
        <v>1878.071893896243</v>
      </c>
      <c r="J41" s="238">
        <f t="shared" si="8"/>
        <v>1839.5043355870002</v>
      </c>
      <c r="K41" s="238">
        <f t="shared" si="9"/>
        <v>1801.3611816482949</v>
      </c>
      <c r="L41" s="238">
        <f>GROWTH($H$41:$H$52,$O$41:$O$52,$O41,1)</f>
        <v>1746.0452753523891</v>
      </c>
      <c r="M41" s="2"/>
      <c r="N41" s="47">
        <f t="shared" si="2"/>
        <v>44286</v>
      </c>
      <c r="O41">
        <f t="shared" si="3"/>
        <v>2021.25</v>
      </c>
      <c r="P41" s="117"/>
      <c r="Q41" s="34"/>
      <c r="R41" s="34"/>
      <c r="S41" s="34"/>
      <c r="T41" s="34"/>
    </row>
    <row r="42" spans="1:20" x14ac:dyDescent="0.2">
      <c r="A42" t="str">
        <f t="shared" si="1"/>
        <v>2021 / 2</v>
      </c>
      <c r="B42" s="23"/>
      <c r="C42" s="156">
        <f>'[2]TWIA 4 Premium Trend'!F62</f>
        <v>60541</v>
      </c>
      <c r="D42" s="157">
        <f>'[2]TWIA 4 Premium Trend'!E62</f>
        <v>103031428</v>
      </c>
      <c r="E42" s="158">
        <f>'[2]TWIA 5'!J392</f>
        <v>1.05</v>
      </c>
      <c r="F42" s="138">
        <f t="shared" si="4"/>
        <v>108182999.40000001</v>
      </c>
      <c r="G42" s="236">
        <f t="shared" si="5"/>
        <v>1786.9377677937266</v>
      </c>
      <c r="H42" s="237">
        <f t="shared" si="7"/>
        <v>1794.0073360890563</v>
      </c>
      <c r="I42" s="238">
        <f t="shared" si="6"/>
        <v>1886.314332999327</v>
      </c>
      <c r="J42" s="238">
        <f t="shared" si="8"/>
        <v>1861.8243063383552</v>
      </c>
      <c r="K42" s="238">
        <f t="shared" si="9"/>
        <v>1830.1670917498657</v>
      </c>
      <c r="L42" s="238">
        <f t="shared" ref="L42:L51" si="10">GROWTH($H$41:$H$52,$O$41:$O$52,$O42,1)</f>
        <v>1782.0757436247097</v>
      </c>
      <c r="M42" s="2"/>
      <c r="N42" s="47">
        <f t="shared" si="2"/>
        <v>44377</v>
      </c>
      <c r="O42">
        <f t="shared" si="3"/>
        <v>2021.5</v>
      </c>
      <c r="P42" s="117"/>
      <c r="Q42" s="34"/>
      <c r="R42" s="34"/>
      <c r="S42" s="34"/>
      <c r="T42" s="34"/>
    </row>
    <row r="43" spans="1:20" x14ac:dyDescent="0.2">
      <c r="A43" t="str">
        <f t="shared" si="1"/>
        <v>2021 / 3</v>
      </c>
      <c r="B43" s="23"/>
      <c r="C43" s="156">
        <f>'[2]TWIA 4 Premium Trend'!F63</f>
        <v>59878</v>
      </c>
      <c r="D43" s="157">
        <f>'[2]TWIA 4 Premium Trend'!E63</f>
        <v>105341091</v>
      </c>
      <c r="E43" s="158">
        <f>'[2]TWIA 5'!J393</f>
        <v>1.05</v>
      </c>
      <c r="F43" s="138">
        <f t="shared" si="4"/>
        <v>110608145.55000001</v>
      </c>
      <c r="G43" s="236">
        <f t="shared" si="5"/>
        <v>1847.2251169043725</v>
      </c>
      <c r="H43" s="237">
        <f t="shared" si="7"/>
        <v>1812.7548597425362</v>
      </c>
      <c r="I43" s="238">
        <f t="shared" si="6"/>
        <v>1894.5929463311979</v>
      </c>
      <c r="J43" s="238">
        <f t="shared" si="8"/>
        <v>1884.4151006396762</v>
      </c>
      <c r="K43" s="238">
        <f t="shared" si="9"/>
        <v>1859.4336426519251</v>
      </c>
      <c r="L43" s="238">
        <f t="shared" si="10"/>
        <v>1818.8497176138283</v>
      </c>
      <c r="M43" s="2"/>
      <c r="N43" s="47">
        <f t="shared" si="2"/>
        <v>44469</v>
      </c>
      <c r="O43">
        <f t="shared" si="3"/>
        <v>2021.75</v>
      </c>
      <c r="P43" s="117"/>
      <c r="Q43" s="34"/>
      <c r="R43" s="34"/>
      <c r="S43" s="34"/>
      <c r="T43" s="34"/>
    </row>
    <row r="44" spans="1:20" x14ac:dyDescent="0.2">
      <c r="A44" t="str">
        <f t="shared" si="1"/>
        <v>2021 / 4</v>
      </c>
      <c r="C44" s="156">
        <f>'[2]TWIA 4 Premium Trend'!F64</f>
        <v>39807</v>
      </c>
      <c r="D44" s="157">
        <f>'[2]TWIA 4 Premium Trend'!E64</f>
        <v>72365308</v>
      </c>
      <c r="E44" s="158">
        <f>'[2]TWIA 5'!J394</f>
        <v>1.05</v>
      </c>
      <c r="F44" s="138">
        <f t="shared" si="4"/>
        <v>75983573.400000006</v>
      </c>
      <c r="G44" s="236">
        <f t="shared" si="5"/>
        <v>1908.7992915818827</v>
      </c>
      <c r="H44" s="237">
        <f t="shared" si="7"/>
        <v>1829.9918174154345</v>
      </c>
      <c r="I44" s="238">
        <f t="shared" si="6"/>
        <v>1902.9078926524862</v>
      </c>
      <c r="J44" s="238">
        <f t="shared" si="8"/>
        <v>1907.2800045792842</v>
      </c>
      <c r="K44" s="238">
        <f t="shared" si="9"/>
        <v>1889.1682005494461</v>
      </c>
      <c r="L44" s="238">
        <f t="shared" si="10"/>
        <v>1856.3825399109921</v>
      </c>
      <c r="M44" s="2"/>
      <c r="N44" s="47">
        <f t="shared" ref="N44:N51" si="11">DATE(YEAR(N45+1),MONTH(N45+1)-3,1)-1</f>
        <v>44561</v>
      </c>
      <c r="O44">
        <f t="shared" si="3"/>
        <v>2022</v>
      </c>
      <c r="P44" s="117"/>
      <c r="Q44" s="34"/>
      <c r="R44" s="34"/>
      <c r="S44" s="34"/>
      <c r="T44" s="34"/>
    </row>
    <row r="45" spans="1:20" x14ac:dyDescent="0.2">
      <c r="A45" t="str">
        <f t="shared" si="1"/>
        <v>2022 / 1</v>
      </c>
      <c r="B45" s="23"/>
      <c r="C45" s="156">
        <f>'[2]TWIA 4 Premium Trend'!F65</f>
        <v>40733</v>
      </c>
      <c r="D45" s="157">
        <f>'[2]TWIA 4 Premium Trend'!E65</f>
        <v>76134863</v>
      </c>
      <c r="E45" s="158">
        <f>'[2]TWIA 5'!J395</f>
        <v>1.0450235261797916</v>
      </c>
      <c r="F45" s="138">
        <f t="shared" si="4"/>
        <v>79562722.997475341</v>
      </c>
      <c r="G45" s="236">
        <f t="shared" si="5"/>
        <v>1953.2743229684861</v>
      </c>
      <c r="H45" s="237">
        <f t="shared" si="7"/>
        <v>1862.7552950973848</v>
      </c>
      <c r="I45" s="238">
        <f t="shared" si="6"/>
        <v>1911.2593314205872</v>
      </c>
      <c r="J45" s="238">
        <f>GROWTH($H$33:$H$52,$O$33:$O$52,$O45,1)</f>
        <v>1930.4223441178694</v>
      </c>
      <c r="K45" s="238">
        <f>GROWTH($H$37:$H$52,$O$37:$O$52,$O45,1)</f>
        <v>1919.3782494314687</v>
      </c>
      <c r="L45" s="238">
        <f>GROWTH($H$41:$H$52,$O$41:$O$52,$O45,1)</f>
        <v>1894.6898697092149</v>
      </c>
      <c r="M45" s="2"/>
      <c r="N45" s="47">
        <f t="shared" si="11"/>
        <v>44651</v>
      </c>
      <c r="O45">
        <f t="shared" si="3"/>
        <v>2022.25</v>
      </c>
      <c r="P45" s="19"/>
      <c r="Q45" s="34"/>
      <c r="R45" s="34"/>
      <c r="S45" s="34"/>
      <c r="T45" s="34"/>
    </row>
    <row r="46" spans="1:20" x14ac:dyDescent="0.2">
      <c r="A46" t="str">
        <f t="shared" si="1"/>
        <v>2022 / 2</v>
      </c>
      <c r="B46" s="23"/>
      <c r="C46" s="156">
        <f>'[2]TWIA 4 Premium Trend'!F66</f>
        <v>61794</v>
      </c>
      <c r="D46" s="157">
        <f>'[2]TWIA 4 Premium Trend'!E66</f>
        <v>116935905</v>
      </c>
      <c r="E46" s="158">
        <f>'[2]TWIA 5'!J396</f>
        <v>1.0319942552468826</v>
      </c>
      <c r="F46" s="138">
        <f>D46*E46</f>
        <v>120677182.19209522</v>
      </c>
      <c r="G46" s="236">
        <f t="shared" si="5"/>
        <v>1952.8948149026639</v>
      </c>
      <c r="H46" s="237">
        <f t="shared" si="7"/>
        <v>1913.0003369709543</v>
      </c>
      <c r="I46" s="238">
        <f t="shared" si="6"/>
        <v>1919.6474227927197</v>
      </c>
      <c r="J46" s="238">
        <f t="shared" si="8"/>
        <v>1953.8454855722894</v>
      </c>
      <c r="K46" s="238">
        <f t="shared" si="9"/>
        <v>1950.0713929649835</v>
      </c>
      <c r="L46" s="238">
        <f t="shared" si="10"/>
        <v>1933.7876893362959</v>
      </c>
      <c r="M46" s="2"/>
      <c r="N46" s="47">
        <f t="shared" si="11"/>
        <v>44742</v>
      </c>
      <c r="O46">
        <f t="shared" si="3"/>
        <v>2022.5</v>
      </c>
      <c r="P46" s="19"/>
      <c r="Q46" s="34"/>
      <c r="R46" s="34"/>
      <c r="S46" s="34"/>
      <c r="T46" s="34"/>
    </row>
    <row r="47" spans="1:20" x14ac:dyDescent="0.2">
      <c r="A47" t="str">
        <f t="shared" si="1"/>
        <v>2022 / 3</v>
      </c>
      <c r="B47" s="23"/>
      <c r="C47" s="156">
        <f>'[2]TWIA 4 Premium Trend'!F67</f>
        <v>79530</v>
      </c>
      <c r="D47" s="157">
        <f>'[2]TWIA 4 Premium Trend'!E67</f>
        <v>161132745</v>
      </c>
      <c r="E47" s="158">
        <f>'[2]TWIA 5'!J397</f>
        <v>1.0156683690740602</v>
      </c>
      <c r="F47" s="138">
        <f t="shared" si="4"/>
        <v>163657432.31857643</v>
      </c>
      <c r="G47" s="236">
        <f>F47/C47</f>
        <v>2057.807523180893</v>
      </c>
      <c r="H47" s="237">
        <f t="shared" si="7"/>
        <v>1982.6601472440188</v>
      </c>
      <c r="I47" s="238">
        <f t="shared" si="6"/>
        <v>1928.0723276290096</v>
      </c>
      <c r="J47" s="238">
        <f t="shared" si="8"/>
        <v>1977.5528361052384</v>
      </c>
      <c r="K47" s="238">
        <f t="shared" si="9"/>
        <v>1981.2553564086124</v>
      </c>
      <c r="L47" s="238">
        <f t="shared" si="10"/>
        <v>1973.6923109229676</v>
      </c>
      <c r="M47" s="2"/>
      <c r="N47" s="47">
        <f t="shared" si="11"/>
        <v>44834</v>
      </c>
      <c r="O47">
        <f t="shared" si="3"/>
        <v>2022.75</v>
      </c>
      <c r="P47" s="19"/>
      <c r="Q47" s="34"/>
      <c r="R47" s="34"/>
      <c r="S47" s="34"/>
      <c r="T47" s="34"/>
    </row>
    <row r="48" spans="1:20" x14ac:dyDescent="0.2">
      <c r="A48" t="str">
        <f t="shared" si="1"/>
        <v>2022 / 4</v>
      </c>
      <c r="B48" s="23"/>
      <c r="C48" s="156">
        <f>'[2]TWIA 4 Premium Trend'!F68</f>
        <v>43628</v>
      </c>
      <c r="D48" s="157">
        <f>'[2]TWIA 4 Premium Trend'!E68</f>
        <v>92639740</v>
      </c>
      <c r="E48" s="158">
        <f>'[2]TWIA 5'!J398</f>
        <v>1.0038901573963255</v>
      </c>
      <c r="F48" s="138">
        <f t="shared" si="4"/>
        <v>93000123.169754669</v>
      </c>
      <c r="G48" s="236">
        <f t="shared" si="5"/>
        <v>2131.6613910735005</v>
      </c>
      <c r="H48" s="237">
        <f t="shared" si="7"/>
        <v>2024.4919275889035</v>
      </c>
      <c r="I48" s="238">
        <f t="shared" si="6"/>
        <v>1936.5342074955222</v>
      </c>
      <c r="J48" s="238">
        <f t="shared" si="8"/>
        <v>2001.5478442208582</v>
      </c>
      <c r="K48" s="238">
        <f t="shared" si="9"/>
        <v>2012.9379885572298</v>
      </c>
      <c r="L48" s="238">
        <f t="shared" si="10"/>
        <v>2014.4203832083101</v>
      </c>
      <c r="M48" s="2"/>
      <c r="N48" s="47">
        <f t="shared" si="11"/>
        <v>44926</v>
      </c>
      <c r="O48">
        <f t="shared" si="3"/>
        <v>2023</v>
      </c>
      <c r="P48" s="19"/>
      <c r="Q48" s="34"/>
      <c r="R48" s="34"/>
      <c r="S48" s="34"/>
      <c r="T48" s="34"/>
    </row>
    <row r="49" spans="1:20" x14ac:dyDescent="0.2">
      <c r="A49" t="str">
        <f>YEAR(N49)&amp;" / "&amp;MONTH(N49)/3</f>
        <v>2023 / 1</v>
      </c>
      <c r="B49" s="23"/>
      <c r="C49" s="156">
        <f>'[2]TWIA 4 Premium Trend'!F69</f>
        <v>46661</v>
      </c>
      <c r="D49" s="157">
        <f>'[2]TWIA 4 Premium Trend'!E69</f>
        <v>98545683</v>
      </c>
      <c r="E49" s="158">
        <f>'[2]TWIA 5'!J399</f>
        <v>1</v>
      </c>
      <c r="F49" s="138">
        <f t="shared" si="4"/>
        <v>98545683</v>
      </c>
      <c r="G49" s="236">
        <f t="shared" si="5"/>
        <v>2111.9496581727781</v>
      </c>
      <c r="H49" s="237">
        <f t="shared" si="7"/>
        <v>2054.6360553182521</v>
      </c>
      <c r="I49" s="238">
        <f t="shared" si="6"/>
        <v>1945.0332246674404</v>
      </c>
      <c r="J49" s="238">
        <f t="shared" si="8"/>
        <v>2025.8340002663622</v>
      </c>
      <c r="K49" s="238">
        <f t="shared" si="9"/>
        <v>2045.1272637171164</v>
      </c>
      <c r="L49" s="238">
        <f t="shared" si="10"/>
        <v>2055.9888984861591</v>
      </c>
      <c r="M49" s="2"/>
      <c r="N49" s="47">
        <f t="shared" si="11"/>
        <v>45016</v>
      </c>
      <c r="O49">
        <f>YEAR(N49)+MONTH(N49)/12</f>
        <v>2023.25</v>
      </c>
      <c r="P49" s="117"/>
      <c r="Q49" s="34"/>
      <c r="R49" s="34"/>
      <c r="S49" s="34"/>
      <c r="T49" s="34"/>
    </row>
    <row r="50" spans="1:20" x14ac:dyDescent="0.2">
      <c r="A50" t="str">
        <f>YEAR(N50)&amp;" / "&amp;MONTH(N50)/3</f>
        <v>2023 / 2</v>
      </c>
      <c r="B50" s="23"/>
      <c r="C50" s="156">
        <f>'[2]TWIA 4 Premium Trend'!F70</f>
        <v>68720</v>
      </c>
      <c r="D50" s="157">
        <f>'[2]TWIA 4 Premium Trend'!E70</f>
        <v>145450526</v>
      </c>
      <c r="E50" s="158">
        <f>'[2]TWIA 5'!J400</f>
        <v>1</v>
      </c>
      <c r="F50" s="138">
        <f t="shared" si="4"/>
        <v>145450526</v>
      </c>
      <c r="G50" s="236">
        <f t="shared" si="5"/>
        <v>2116.5676076833529</v>
      </c>
      <c r="H50" s="237">
        <f t="shared" si="7"/>
        <v>2098.8340040342714</v>
      </c>
      <c r="I50" s="238">
        <f t="shared" si="6"/>
        <v>1953.5695421321232</v>
      </c>
      <c r="J50" s="238">
        <f t="shared" si="8"/>
        <v>2050.4148369397462</v>
      </c>
      <c r="K50" s="238">
        <f t="shared" si="9"/>
        <v>2077.8312837132621</v>
      </c>
      <c r="L50" s="238">
        <f t="shared" si="10"/>
        <v>2098.4151996942983</v>
      </c>
      <c r="M50" s="2"/>
      <c r="N50" s="47">
        <f t="shared" si="11"/>
        <v>45107</v>
      </c>
      <c r="O50">
        <f>YEAR(N50)+MONTH(N50)/12</f>
        <v>2023.5</v>
      </c>
      <c r="P50" s="117"/>
      <c r="Q50" s="34"/>
      <c r="R50" s="34"/>
      <c r="S50" s="34"/>
      <c r="T50" s="34"/>
    </row>
    <row r="51" spans="1:20" x14ac:dyDescent="0.2">
      <c r="A51" t="str">
        <f>YEAR(N51)&amp;" / "&amp;MONTH(N51)/3</f>
        <v>2023 / 3</v>
      </c>
      <c r="B51" s="23"/>
      <c r="C51" s="156">
        <f>'[2]TWIA 4 Premium Trend'!F71</f>
        <v>83884</v>
      </c>
      <c r="D51" s="157">
        <f>'[2]TWIA 4 Premium Trend'!E71</f>
        <v>187414809</v>
      </c>
      <c r="E51" s="158">
        <f>'[2]TWIA 5'!J401</f>
        <v>1</v>
      </c>
      <c r="F51" s="138">
        <f t="shared" si="4"/>
        <v>187414809</v>
      </c>
      <c r="G51" s="236">
        <f t="shared" si="5"/>
        <v>2234.2140217443134</v>
      </c>
      <c r="H51" s="237">
        <f t="shared" si="7"/>
        <v>2159.0212199188722</v>
      </c>
      <c r="I51" s="238">
        <f t="shared" si="6"/>
        <v>1962.1433235922452</v>
      </c>
      <c r="J51" s="238">
        <f t="shared" si="8"/>
        <v>2075.293929803659</v>
      </c>
      <c r="K51" s="238">
        <f t="shared" si="9"/>
        <v>2111.0582799284239</v>
      </c>
      <c r="L51" s="238">
        <f t="shared" si="10"/>
        <v>2141.7169876502762</v>
      </c>
      <c r="M51" s="2"/>
      <c r="N51" s="47">
        <f t="shared" si="11"/>
        <v>45199</v>
      </c>
      <c r="O51">
        <f>YEAR(N51)+MONTH(N51)/12</f>
        <v>2023.75</v>
      </c>
      <c r="P51" s="117"/>
      <c r="Q51" s="34"/>
      <c r="R51" s="34"/>
      <c r="S51" s="34"/>
      <c r="T51" s="34"/>
    </row>
    <row r="52" spans="1:20" x14ac:dyDescent="0.2">
      <c r="A52" t="str">
        <f>YEAR(N52)&amp;" / "&amp;MONTH(N52)/3</f>
        <v>2023 / 4</v>
      </c>
      <c r="B52" s="23"/>
      <c r="C52" s="156">
        <f>'[2]TWIA 4 Premium Trend'!F72</f>
        <v>48217</v>
      </c>
      <c r="D52" s="157">
        <f>'[2]TWIA 4 Premium Trend'!E72</f>
        <v>110838891</v>
      </c>
      <c r="E52" s="158">
        <f>'[2]TWIA 5'!J402</f>
        <v>1</v>
      </c>
      <c r="F52" s="138">
        <f>D52*E52</f>
        <v>110838891</v>
      </c>
      <c r="G52" s="236">
        <f t="shared" si="5"/>
        <v>2298.7512910384303</v>
      </c>
      <c r="H52" s="237">
        <f>IFERROR(SUM(F49:F52)/SUM(C49:C52),0)</f>
        <v>2191.0680736376785</v>
      </c>
      <c r="I52" s="238">
        <f>GROWTH($H$17:$H$52,$O$17:$O$52,$O52,1)</f>
        <v>1970.7547334689355</v>
      </c>
      <c r="J52" s="238">
        <f t="shared" si="8"/>
        <v>2100.47489780551</v>
      </c>
      <c r="K52" s="238">
        <f t="shared" si="9"/>
        <v>2144.8166153751504</v>
      </c>
      <c r="L52" s="238">
        <f>GROWTH($H$41:$H$52,$O$41:$O$52,$O52,1)</f>
        <v>2185.912328436184</v>
      </c>
      <c r="M52" s="2"/>
      <c r="N52" s="59">
        <v>45291</v>
      </c>
      <c r="O52">
        <f>YEAR(N52)+MONTH(N52)/12</f>
        <v>2024</v>
      </c>
      <c r="P52" s="117"/>
      <c r="Q52" s="34"/>
      <c r="R52" s="34"/>
      <c r="S52" s="34"/>
      <c r="T52" s="34"/>
    </row>
    <row r="53" spans="1:20" x14ac:dyDescent="0.2">
      <c r="A53" s="9"/>
      <c r="B53" s="24"/>
      <c r="C53" s="126"/>
      <c r="D53" s="54"/>
      <c r="E53" s="33"/>
      <c r="F53" s="54"/>
      <c r="G53" s="88"/>
      <c r="H53" s="88"/>
      <c r="I53" s="90"/>
      <c r="J53" s="90"/>
      <c r="K53" s="90"/>
      <c r="L53" s="90"/>
      <c r="M53" s="2"/>
    </row>
    <row r="54" spans="1:20" x14ac:dyDescent="0.2">
      <c r="B54" s="23"/>
      <c r="C54" s="127"/>
      <c r="D54" s="53"/>
      <c r="E54" s="32"/>
      <c r="F54" s="53"/>
      <c r="G54" s="110"/>
      <c r="H54" s="110"/>
      <c r="I54" s="84"/>
      <c r="J54" s="84"/>
      <c r="K54" s="84"/>
      <c r="L54" s="84"/>
      <c r="M54" s="2"/>
      <c r="N54" s="59"/>
    </row>
    <row r="55" spans="1:20" x14ac:dyDescent="0.2">
      <c r="A55" s="62" t="s">
        <v>253</v>
      </c>
      <c r="B55" t="s">
        <v>267</v>
      </c>
      <c r="I55" s="42">
        <f>LOGEST($I$17:$I$52,$O$17:$O$52,1,1)-1</f>
        <v>1.7671015487856545E-2</v>
      </c>
      <c r="J55" s="42">
        <f>LOGEST($J$33:$J$52,$O$33:$O$52,1,1)-1</f>
        <v>4.942527547881892E-2</v>
      </c>
      <c r="K55" s="42">
        <f>LOGEST($K$37:$K$52,$O$37:$O$52,1,1)-1</f>
        <v>6.5515494052773571E-2</v>
      </c>
      <c r="L55" s="42">
        <f>LOGEST($L$41:$L$52,$O$41:$O$52,1,1)-1</f>
        <v>8.5132153475704797E-2</v>
      </c>
      <c r="M55" s="2"/>
      <c r="N55" s="89"/>
      <c r="Q55" s="240"/>
      <c r="R55" s="240"/>
      <c r="S55" s="240"/>
      <c r="T55" s="240"/>
    </row>
    <row r="56" spans="1:20" x14ac:dyDescent="0.2">
      <c r="A56" s="62" t="s">
        <v>187</v>
      </c>
      <c r="B56" t="s">
        <v>266</v>
      </c>
      <c r="D56" s="19"/>
      <c r="F56" s="19"/>
      <c r="G56" s="19"/>
      <c r="H56" s="19"/>
      <c r="I56" s="42">
        <f>INDEX(LOGEST($H$17:$H$52,$O$17:$O$52,1,1),3,1)</f>
        <v>0.51108329791894969</v>
      </c>
      <c r="J56" s="42">
        <f>INDEX(LOGEST($H$33:$H$52,$O$33:$O$52,1,1),3,1)</f>
        <v>0.84743971563873044</v>
      </c>
      <c r="K56" s="42">
        <f>INDEX(LOGEST($H$37:$H$52,$O$37:$O$52,1,1),3,1)</f>
        <v>0.92644069096487314</v>
      </c>
      <c r="L56" s="42">
        <f>INDEX(LOGEST($H$41:$H$52,$O$41:$O$52,1,1),3,1)</f>
        <v>0.98097689195619076</v>
      </c>
      <c r="M56" s="2"/>
    </row>
    <row r="57" spans="1:20" x14ac:dyDescent="0.2">
      <c r="D57" s="19"/>
      <c r="F57" s="19"/>
      <c r="G57" s="19"/>
      <c r="H57" s="19"/>
      <c r="I57" s="19"/>
      <c r="J57" s="19"/>
      <c r="K57" s="19"/>
      <c r="L57" s="19"/>
      <c r="M57" s="2"/>
      <c r="N57" t="s">
        <v>421</v>
      </c>
    </row>
    <row r="58" spans="1:20" x14ac:dyDescent="0.2">
      <c r="A58" s="62" t="s">
        <v>268</v>
      </c>
      <c r="B58" s="12" t="s">
        <v>203</v>
      </c>
      <c r="D58" s="19"/>
      <c r="F58" s="19"/>
      <c r="G58" s="19"/>
      <c r="H58" s="19"/>
      <c r="I58" s="19"/>
      <c r="J58" s="19"/>
      <c r="K58" s="19"/>
      <c r="L58" s="174">
        <f>N58</f>
        <v>6.6690974335765763E-2</v>
      </c>
      <c r="M58" s="2"/>
      <c r="N58" s="20">
        <f>AVERAGE(J55:L55)</f>
        <v>6.6690974335765763E-2</v>
      </c>
    </row>
    <row r="59" spans="1:20" ht="12" thickBot="1" x14ac:dyDescent="0.25">
      <c r="A59" s="6"/>
      <c r="B59" s="6"/>
      <c r="C59" s="104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20" ht="12" thickTop="1" x14ac:dyDescent="0.2">
      <c r="M60" s="2"/>
    </row>
    <row r="61" spans="1:20" x14ac:dyDescent="0.2">
      <c r="A61" s="23" t="s">
        <v>17</v>
      </c>
      <c r="B61" s="23"/>
      <c r="C61" s="58" t="str">
        <f>C12&amp;" Provided by TWIA. Exposures written on inception"</f>
        <v>(2) Provided by TWIA. Exposures written on inception</v>
      </c>
      <c r="D61" s="23"/>
      <c r="E61" s="128"/>
      <c r="F61" s="23"/>
      <c r="M61" s="2"/>
    </row>
    <row r="62" spans="1:20" x14ac:dyDescent="0.2">
      <c r="A62" s="23"/>
      <c r="B62" s="23"/>
      <c r="C62" s="58" t="str">
        <f>D12&amp;" Provided by TWIA. Premium written on inception"</f>
        <v>(3) Provided by TWIA. Premium written on inception</v>
      </c>
      <c r="D62" s="23"/>
      <c r="E62" s="128"/>
      <c r="F62" s="23"/>
      <c r="H62" s="12"/>
      <c r="M62" s="2"/>
    </row>
    <row r="63" spans="1:20" x14ac:dyDescent="0.2">
      <c r="A63" s="23"/>
      <c r="B63" s="23"/>
      <c r="C63" s="58" t="str">
        <f>E12&amp;" Cumulative effect of annual rate changes"</f>
        <v>(4) Cumulative effect of annual rate changes</v>
      </c>
      <c r="D63" s="128"/>
      <c r="E63" s="23"/>
      <c r="F63" s="23"/>
      <c r="H63" s="23"/>
      <c r="M63" s="2"/>
    </row>
    <row r="64" spans="1:20" x14ac:dyDescent="0.2">
      <c r="A64" s="129"/>
      <c r="B64" s="23"/>
      <c r="C64" s="58" t="str">
        <f>F12&amp;" = "&amp;D12&amp;" * "&amp;E12</f>
        <v>(5) = (3) * (4)</v>
      </c>
      <c r="D64" s="23"/>
      <c r="E64" s="23"/>
      <c r="F64" s="23"/>
      <c r="H64" s="23"/>
      <c r="M64" s="2"/>
    </row>
    <row r="65" spans="1:13" x14ac:dyDescent="0.2">
      <c r="A65" s="23"/>
      <c r="B65" s="23"/>
      <c r="C65" s="129" t="s">
        <v>462</v>
      </c>
      <c r="D65" s="23"/>
      <c r="E65" s="23"/>
      <c r="F65" s="23"/>
      <c r="H65" s="23"/>
      <c r="M65" s="2"/>
    </row>
    <row r="66" spans="1:13" x14ac:dyDescent="0.2">
      <c r="A66" s="23"/>
      <c r="B66" s="23"/>
      <c r="C66" s="41" t="s">
        <v>461</v>
      </c>
      <c r="D66" s="23"/>
      <c r="E66" s="23"/>
      <c r="F66" s="23"/>
      <c r="M66" s="2"/>
    </row>
    <row r="67" spans="1:13" x14ac:dyDescent="0.2">
      <c r="A67" s="23"/>
      <c r="B67" s="23"/>
      <c r="C67" s="12" t="str">
        <f>I12&amp;" - "&amp;L12&amp;" = "&amp;H12&amp;" Fitted to an exponential distribution"</f>
        <v>(8) - (11) = (7) Fitted to an exponential distribution</v>
      </c>
      <c r="D67" s="23"/>
      <c r="E67" s="23"/>
      <c r="F67" s="23"/>
      <c r="M67" s="2"/>
    </row>
    <row r="68" spans="1:13" x14ac:dyDescent="0.2">
      <c r="A68" s="23"/>
      <c r="B68" s="23"/>
      <c r="C68" s="23" t="str">
        <f>'3.2 premium trend'!A55&amp;" Fitted average annual change"</f>
        <v>(14) Fitted average annual change</v>
      </c>
      <c r="D68" s="130"/>
      <c r="E68" s="130"/>
      <c r="F68" s="130"/>
      <c r="G68" s="29"/>
      <c r="H68" s="29"/>
      <c r="I68" s="29"/>
      <c r="J68" s="29"/>
      <c r="K68" s="29"/>
      <c r="M68" s="2"/>
    </row>
    <row r="69" spans="1:13" x14ac:dyDescent="0.2">
      <c r="C69" s="23" t="str">
        <f>'3.2 premium trend'!A56&amp;" Evaluates the predictability of the fitted curve"</f>
        <v>(15) Evaluates the predictability of the fitted curve</v>
      </c>
      <c r="G69" s="19"/>
      <c r="H69" s="19"/>
      <c r="I69" s="19"/>
      <c r="J69" s="19"/>
      <c r="K69" s="19"/>
      <c r="M69" s="2"/>
    </row>
    <row r="70" spans="1:13" ht="12" thickBot="1" x14ac:dyDescent="0.25">
      <c r="C70" s="23" t="str">
        <f>'3.2 premium trend'!A58&amp;" Selected based on judgment, with equal weight given to 3-year, 4-year, and 5-year exponential fitted trends"</f>
        <v>(16) Selected based on judgment, with equal weight given to 3-year, 4-year, and 5-year exponential fitted trends</v>
      </c>
      <c r="D70" s="19"/>
      <c r="F70" s="19"/>
      <c r="G70" s="19"/>
      <c r="H70" s="19"/>
      <c r="I70" s="19"/>
      <c r="J70" s="19"/>
      <c r="K70" s="19"/>
      <c r="L70" s="19"/>
      <c r="M70" s="2"/>
    </row>
    <row r="71" spans="1:13" ht="12" thickBot="1" x14ac:dyDescent="0.25">
      <c r="A71" s="4"/>
      <c r="B71" s="5"/>
      <c r="C71" s="105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9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rgb="FF00FF00"/>
  </sheetPr>
  <dimension ref="A1:Q69"/>
  <sheetViews>
    <sheetView showGridLines="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64</v>
      </c>
      <c r="M1" s="1"/>
      <c r="P1" s="12" t="s">
        <v>369</v>
      </c>
      <c r="Q1" s="12" t="s">
        <v>373</v>
      </c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50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215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216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/>
      <c r="H7"/>
      <c r="I7"/>
      <c r="J7"/>
      <c r="K7"/>
      <c r="L7"/>
      <c r="M7" s="2"/>
    </row>
    <row r="8" spans="1:17" ht="12" thickTop="1" x14ac:dyDescent="0.2">
      <c r="A8" t="s">
        <v>52</v>
      </c>
      <c r="B8"/>
      <c r="C8"/>
      <c r="D8"/>
      <c r="E8"/>
      <c r="F8"/>
      <c r="G8"/>
      <c r="H8"/>
      <c r="I8"/>
      <c r="J8"/>
      <c r="K8"/>
      <c r="L8"/>
      <c r="M8" s="2"/>
      <c r="N8" t="s">
        <v>198</v>
      </c>
    </row>
    <row r="9" spans="1:17" x14ac:dyDescent="0.2">
      <c r="A9" t="s">
        <v>53</v>
      </c>
      <c r="B9"/>
      <c r="D9"/>
      <c r="E9"/>
      <c r="F9"/>
      <c r="G9"/>
      <c r="H9"/>
      <c r="I9"/>
      <c r="J9"/>
      <c r="K9"/>
      <c r="L9"/>
      <c r="M9" s="2"/>
      <c r="N9" s="59">
        <v>45199</v>
      </c>
    </row>
    <row r="10" spans="1:17" x14ac:dyDescent="0.2">
      <c r="A10" t="s">
        <v>33</v>
      </c>
      <c r="B10"/>
      <c r="C10" s="11" t="s">
        <v>218</v>
      </c>
      <c r="D10" s="11" t="s">
        <v>219</v>
      </c>
      <c r="E10" s="11" t="s">
        <v>220</v>
      </c>
      <c r="F10" s="11" t="s">
        <v>119</v>
      </c>
      <c r="G10"/>
      <c r="H10"/>
      <c r="I10"/>
      <c r="J10"/>
      <c r="K10"/>
      <c r="L10"/>
      <c r="M10" s="2"/>
      <c r="O10" t="s">
        <v>221</v>
      </c>
      <c r="Q10"/>
    </row>
    <row r="11" spans="1:17" x14ac:dyDescent="0.2">
      <c r="A11" s="9" t="str">
        <f>TEXT($N$9,"m/d")</f>
        <v>9/30</v>
      </c>
      <c r="B11" s="9"/>
      <c r="C11" s="125" t="s">
        <v>222</v>
      </c>
      <c r="D11" s="125" t="s">
        <v>222</v>
      </c>
      <c r="E11" s="125" t="s">
        <v>223</v>
      </c>
      <c r="F11" s="125" t="s">
        <v>68</v>
      </c>
      <c r="G11"/>
      <c r="H11"/>
      <c r="I11"/>
      <c r="J11"/>
      <c r="K11"/>
      <c r="L11"/>
      <c r="M11" s="2"/>
      <c r="N11" s="9" t="s">
        <v>214</v>
      </c>
      <c r="O11" s="9" t="s">
        <v>218</v>
      </c>
      <c r="P11" s="9" t="s">
        <v>219</v>
      </c>
      <c r="Q11" s="9" t="s">
        <v>224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2014</v>
      </c>
      <c r="B14" s="23"/>
      <c r="C14" s="29">
        <f>ROUND('3.3b'!$C$52/'3.3b'!$C$16,3)</f>
        <v>1.4650000000000001</v>
      </c>
      <c r="D14" s="29">
        <f>ROUND('3.3c'!$C$52/'3.3c'!$C$16,3)</f>
        <v>1.4830000000000001</v>
      </c>
      <c r="E14" s="29">
        <f>ROUND('3.3d'!$C$54/'3.3d'!$C$18,3)</f>
        <v>1.22</v>
      </c>
      <c r="F14" s="29">
        <f>ROUND(SUMPRODUCT(C14:E14,$O14:$Q14)/SUMIF(C14:E14,"&gt;0",$O14:$Q14),3)</f>
        <v>1.417</v>
      </c>
      <c r="G14"/>
      <c r="H14"/>
      <c r="I14"/>
      <c r="J14" s="29"/>
      <c r="K14" s="29"/>
      <c r="M14" s="2"/>
      <c r="N14" s="12">
        <f>VALUE(A14)-1900</f>
        <v>114</v>
      </c>
      <c r="O14" s="70">
        <v>0</v>
      </c>
      <c r="P14" s="70">
        <v>0.75</v>
      </c>
      <c r="Q14" s="70">
        <v>0.25</v>
      </c>
    </row>
    <row r="15" spans="1:17" x14ac:dyDescent="0.2">
      <c r="A15" t="str">
        <f t="shared" si="0"/>
        <v>2015</v>
      </c>
      <c r="B15" s="23"/>
      <c r="C15" s="29">
        <f>ROUND('3.3b'!$C$52/'3.3b'!$C$20,3)</f>
        <v>1.4279999999999999</v>
      </c>
      <c r="D15" s="29">
        <f>ROUND('3.3c'!$C$52/'3.3c'!$C$20,3)</f>
        <v>1.448</v>
      </c>
      <c r="E15" s="29">
        <f>ROUND('3.3d'!$C$54/'3.3d'!$C$22,3)</f>
        <v>1.2050000000000001</v>
      </c>
      <c r="F15" s="29">
        <f t="shared" ref="F15:F22" si="1">ROUND(SUMPRODUCT(C15:E15,$O15:$Q15)/SUMIF(C15:E15,"&gt;0",$O15:$Q15),3)</f>
        <v>1.387</v>
      </c>
      <c r="G15"/>
      <c r="H15"/>
      <c r="I15"/>
      <c r="J15" s="29"/>
      <c r="K15" s="29"/>
      <c r="L15"/>
      <c r="M15" s="2"/>
      <c r="N15" s="12">
        <f t="shared" ref="N15:N23" si="2">VALUE(A15)-1900</f>
        <v>115</v>
      </c>
      <c r="O15" s="70">
        <v>0</v>
      </c>
      <c r="P15" s="70">
        <v>0.75</v>
      </c>
      <c r="Q15" s="70">
        <v>0.25</v>
      </c>
    </row>
    <row r="16" spans="1:17" x14ac:dyDescent="0.2">
      <c r="A16" t="str">
        <f t="shared" si="0"/>
        <v>2016</v>
      </c>
      <c r="B16" s="23"/>
      <c r="C16" s="29">
        <f>ROUND('3.3b'!$C$52/'3.3b'!$C$24,3)</f>
        <v>1.4370000000000001</v>
      </c>
      <c r="D16" s="29">
        <f>ROUND('3.3c'!$C$52/'3.3c'!$C$24,3)</f>
        <v>1.458</v>
      </c>
      <c r="E16" s="29">
        <f>ROUND('3.3d'!$C$54/'3.3d'!$C$26,3)</f>
        <v>1.1870000000000001</v>
      </c>
      <c r="F16" s="29">
        <f t="shared" si="1"/>
        <v>1.39</v>
      </c>
      <c r="G16"/>
      <c r="H16"/>
      <c r="I16"/>
      <c r="J16" s="29"/>
      <c r="K16" s="29"/>
      <c r="L16"/>
      <c r="M16" s="2"/>
      <c r="N16" s="12">
        <f t="shared" si="2"/>
        <v>116</v>
      </c>
      <c r="O16" s="70">
        <v>0</v>
      </c>
      <c r="P16" s="70">
        <v>0.75</v>
      </c>
      <c r="Q16" s="70">
        <v>0.25</v>
      </c>
    </row>
    <row r="17" spans="1:17" x14ac:dyDescent="0.2">
      <c r="A17" t="str">
        <f t="shared" si="0"/>
        <v>2017</v>
      </c>
      <c r="B17" s="23"/>
      <c r="C17" s="29">
        <f>ROUND('3.3b'!$C$52/'3.3b'!$C$28,3)</f>
        <v>1.4219999999999999</v>
      </c>
      <c r="D17" s="29">
        <f>ROUND('3.3c'!$C$52/'3.3c'!$C$28,3)</f>
        <v>1.4410000000000001</v>
      </c>
      <c r="E17" s="29">
        <f>ROUND('3.3d'!$C$54/'3.3d'!$C$30,3)</f>
        <v>1.179</v>
      </c>
      <c r="F17" s="29">
        <f t="shared" si="1"/>
        <v>1.3759999999999999</v>
      </c>
      <c r="G17"/>
      <c r="H17"/>
      <c r="I17"/>
      <c r="J17" s="29"/>
      <c r="K17" s="29"/>
      <c r="L17"/>
      <c r="M17" s="2"/>
      <c r="N17" s="12">
        <f t="shared" si="2"/>
        <v>117</v>
      </c>
      <c r="O17" s="70">
        <v>0</v>
      </c>
      <c r="P17" s="70">
        <v>0.75</v>
      </c>
      <c r="Q17" s="70">
        <v>0.25</v>
      </c>
    </row>
    <row r="18" spans="1:17" x14ac:dyDescent="0.2">
      <c r="A18" t="str">
        <f t="shared" si="0"/>
        <v>2018</v>
      </c>
      <c r="B18" s="23"/>
      <c r="C18" s="29">
        <f>ROUND('3.3b'!$C$52/'3.3b'!$C$32,3)</f>
        <v>1.37</v>
      </c>
      <c r="D18" s="29">
        <f>ROUND('3.3c'!$C$52/'3.3c'!$C$32,3)</f>
        <v>1.3859999999999999</v>
      </c>
      <c r="E18" s="29">
        <f>ROUND('3.3d'!$C$54/'3.3d'!$C$34,3)</f>
        <v>1.17</v>
      </c>
      <c r="F18" s="29">
        <f t="shared" si="1"/>
        <v>1.3320000000000001</v>
      </c>
      <c r="G18"/>
      <c r="H18"/>
      <c r="I18"/>
      <c r="J18" s="29"/>
      <c r="K18" s="29"/>
      <c r="L18"/>
      <c r="M18" s="2"/>
      <c r="N18" s="12">
        <f t="shared" si="2"/>
        <v>118</v>
      </c>
      <c r="O18" s="70">
        <v>0</v>
      </c>
      <c r="P18" s="70">
        <v>0.75</v>
      </c>
      <c r="Q18" s="70">
        <v>0.25</v>
      </c>
    </row>
    <row r="19" spans="1:17" x14ac:dyDescent="0.2">
      <c r="A19" t="str">
        <f t="shared" si="0"/>
        <v>2019</v>
      </c>
      <c r="B19" s="23"/>
      <c r="C19" s="29">
        <f>ROUND('3.3b'!$C$52/'3.3b'!$C$36,3)</f>
        <v>1.3380000000000001</v>
      </c>
      <c r="D19" s="29">
        <f>ROUND('3.3c'!$C$52/'3.3c'!$C$36,3)</f>
        <v>1.3440000000000001</v>
      </c>
      <c r="E19" s="29">
        <f>ROUND('3.3d'!$C$54/'3.3d'!$C$38,3)</f>
        <v>1.147</v>
      </c>
      <c r="F19" s="29">
        <f t="shared" si="1"/>
        <v>1.2949999999999999</v>
      </c>
      <c r="G19"/>
      <c r="H19"/>
      <c r="I19"/>
      <c r="J19" s="29"/>
      <c r="K19" s="29"/>
      <c r="L19"/>
      <c r="M19" s="2"/>
      <c r="N19" s="12">
        <f t="shared" si="2"/>
        <v>119</v>
      </c>
      <c r="O19" s="70">
        <v>0</v>
      </c>
      <c r="P19" s="70">
        <v>0.75</v>
      </c>
      <c r="Q19" s="70">
        <v>0.25</v>
      </c>
    </row>
    <row r="20" spans="1:17" x14ac:dyDescent="0.2">
      <c r="A20" t="str">
        <f t="shared" si="0"/>
        <v>2020</v>
      </c>
      <c r="B20" s="23"/>
      <c r="C20" s="29">
        <f>ROUND('3.3b'!$C$52/'3.3b'!$C$40,3)</f>
        <v>1.329</v>
      </c>
      <c r="D20" s="29">
        <f>ROUND('3.3c'!$C$52/'3.3c'!$C$40,3)</f>
        <v>1.3440000000000001</v>
      </c>
      <c r="E20" s="29">
        <f>ROUND('3.3d'!$C$54/'3.3d'!$C$42,3)</f>
        <v>1.169</v>
      </c>
      <c r="F20" s="29">
        <f t="shared" si="1"/>
        <v>1.3</v>
      </c>
      <c r="G20"/>
      <c r="H20"/>
      <c r="I20"/>
      <c r="J20" s="29"/>
      <c r="K20" s="29"/>
      <c r="L20"/>
      <c r="M20" s="2"/>
      <c r="N20" s="12">
        <f t="shared" si="2"/>
        <v>120</v>
      </c>
      <c r="O20" s="70">
        <v>0</v>
      </c>
      <c r="P20" s="70">
        <v>0.75</v>
      </c>
      <c r="Q20" s="70">
        <v>0.25</v>
      </c>
    </row>
    <row r="21" spans="1:17" x14ac:dyDescent="0.2">
      <c r="A21" t="str">
        <f t="shared" si="0"/>
        <v>2021</v>
      </c>
      <c r="B21" s="23"/>
      <c r="C21" s="29">
        <f>ROUND('3.3b'!$C$52/'3.3b'!$C$44,3)</f>
        <v>1.19</v>
      </c>
      <c r="D21" s="29">
        <f>ROUND('3.3c'!$C$52/'3.3c'!$C$44,3)</f>
        <v>1.206</v>
      </c>
      <c r="E21" s="29">
        <f>ROUND('3.3d'!$C$54/'3.3d'!$C$46,3)</f>
        <v>1.1379999999999999</v>
      </c>
      <c r="F21" s="29">
        <f t="shared" si="1"/>
        <v>1.1890000000000001</v>
      </c>
      <c r="G21"/>
      <c r="H21"/>
      <c r="I21"/>
      <c r="J21" s="29"/>
      <c r="K21" s="29"/>
      <c r="L21"/>
      <c r="M21" s="2"/>
      <c r="N21" s="12">
        <f t="shared" si="2"/>
        <v>121</v>
      </c>
      <c r="O21" s="70">
        <v>0</v>
      </c>
      <c r="P21" s="70">
        <v>0.75</v>
      </c>
      <c r="Q21" s="70">
        <v>0.25</v>
      </c>
    </row>
    <row r="22" spans="1:17" x14ac:dyDescent="0.2">
      <c r="A22" t="str">
        <f>TEXT(A23-1,"#")</f>
        <v>2022</v>
      </c>
      <c r="B22" s="23"/>
      <c r="C22" s="29">
        <f>ROUND('3.3b'!$C$52/'3.3b'!$C$48,3)</f>
        <v>1.028</v>
      </c>
      <c r="D22" s="29">
        <f>ROUND('3.3c'!$C$52/'3.3c'!$C$48,3)</f>
        <v>1.024</v>
      </c>
      <c r="E22" s="29">
        <f>ROUND('3.3d'!$C$54/'3.3d'!$C$50,3)</f>
        <v>1.0389999999999999</v>
      </c>
      <c r="F22" s="29">
        <f t="shared" si="1"/>
        <v>1.028</v>
      </c>
      <c r="G22"/>
      <c r="H22"/>
      <c r="I22"/>
      <c r="J22" s="29"/>
      <c r="K22" s="29"/>
      <c r="L22"/>
      <c r="M22" s="2"/>
      <c r="N22" s="12">
        <f t="shared" si="2"/>
        <v>122</v>
      </c>
      <c r="O22" s="70">
        <v>0</v>
      </c>
      <c r="P22" s="70">
        <v>0.75</v>
      </c>
      <c r="Q22" s="70">
        <v>0.25</v>
      </c>
    </row>
    <row r="23" spans="1:17" x14ac:dyDescent="0.2">
      <c r="A23" t="str">
        <f>TEXT(YEAR($N$9),"#")</f>
        <v>2023</v>
      </c>
      <c r="B23" s="23"/>
      <c r="C23" s="29">
        <f>ROUND('3.3b'!$C$52/'3.3b'!$C$52,3)</f>
        <v>1</v>
      </c>
      <c r="D23" s="29">
        <f>ROUND('3.3c'!$C$52/'3.3c'!$C$52,3)</f>
        <v>1</v>
      </c>
      <c r="E23" s="29">
        <f>ROUND('3.3d'!$C$54/'3.3d'!$C$54,3)</f>
        <v>1</v>
      </c>
      <c r="F23" s="29">
        <f>ROUND(SUMPRODUCT(C23:E23,$O23:$Q23)/SUMIF(C23:E23,"&gt;0",$O23:$Q23),3)</f>
        <v>1</v>
      </c>
      <c r="G23"/>
      <c r="H23"/>
      <c r="I23"/>
      <c r="J23" s="29"/>
      <c r="K23" s="29"/>
      <c r="L23"/>
      <c r="M23" s="2"/>
      <c r="N23" s="12">
        <f t="shared" si="2"/>
        <v>123</v>
      </c>
      <c r="O23" s="70">
        <v>0</v>
      </c>
      <c r="P23" s="70">
        <v>0.75</v>
      </c>
      <c r="Q23" s="70">
        <v>0.25</v>
      </c>
    </row>
    <row r="24" spans="1:17" x14ac:dyDescent="0.2">
      <c r="A24" s="9"/>
      <c r="B24" s="24"/>
      <c r="C24" s="30"/>
      <c r="D24" s="30"/>
      <c r="E24" s="30"/>
      <c r="F24" s="30"/>
      <c r="G24" s="29"/>
      <c r="H24" s="19"/>
      <c r="I24" s="19"/>
      <c r="J24" s="20"/>
      <c r="K24" s="20"/>
      <c r="L24" s="20"/>
      <c r="M24" s="2"/>
    </row>
    <row r="25" spans="1:17" x14ac:dyDescent="0.2">
      <c r="A25"/>
      <c r="B25"/>
      <c r="C25" s="19"/>
      <c r="D25"/>
      <c r="E25"/>
      <c r="F25"/>
      <c r="G25"/>
      <c r="H25"/>
      <c r="I25"/>
      <c r="J25"/>
      <c r="K25"/>
      <c r="L25"/>
      <c r="M25" s="2"/>
      <c r="Q25"/>
    </row>
    <row r="26" spans="1:17" x14ac:dyDescent="0.2">
      <c r="A26" s="12" t="s">
        <v>225</v>
      </c>
      <c r="H26"/>
      <c r="I26"/>
      <c r="J26"/>
      <c r="K26"/>
      <c r="L26"/>
      <c r="M26" s="2"/>
    </row>
    <row r="27" spans="1:17" x14ac:dyDescent="0.2">
      <c r="B27"/>
      <c r="C27" s="64"/>
      <c r="D27" s="64"/>
      <c r="E27" s="64"/>
      <c r="F27" s="64"/>
      <c r="G27"/>
      <c r="H27"/>
      <c r="I27"/>
      <c r="J27"/>
      <c r="K27"/>
      <c r="L27"/>
      <c r="M27" s="2"/>
    </row>
    <row r="28" spans="1:17" x14ac:dyDescent="0.2">
      <c r="A28" s="62" t="s">
        <v>110</v>
      </c>
      <c r="B28" t="s">
        <v>226</v>
      </c>
      <c r="C28" s="42">
        <f>ROUND('3.3b'!$G$56,3)</f>
        <v>8.5999999999999993E-2</v>
      </c>
      <c r="D28" s="42">
        <f>ROUND('3.3c'!$G$56,3)</f>
        <v>8.7999999999999995E-2</v>
      </c>
      <c r="E28" s="42">
        <f>ROUND('3.3d'!$G$58,3)</f>
        <v>3.7999999999999999E-2</v>
      </c>
      <c r="F28" s="42">
        <f>ROUND(SUMPRODUCT(C28:E28,$O28:$Q28)/SUMIF(C28:E28,"&gt;0",$O28:$Q28),3)</f>
        <v>7.5999999999999998E-2</v>
      </c>
      <c r="G28"/>
      <c r="H28"/>
      <c r="I28"/>
      <c r="J28"/>
      <c r="K28"/>
      <c r="L28"/>
      <c r="M28" s="2"/>
      <c r="O28" s="70">
        <v>0</v>
      </c>
      <c r="P28" s="70">
        <v>0.75</v>
      </c>
      <c r="Q28" s="70">
        <v>0.25</v>
      </c>
    </row>
    <row r="29" spans="1:17" x14ac:dyDescent="0.2">
      <c r="A29" s="62"/>
      <c r="B29"/>
      <c r="C29"/>
      <c r="D29"/>
      <c r="E29"/>
      <c r="F29" s="20"/>
      <c r="G29"/>
      <c r="H29"/>
      <c r="I29"/>
      <c r="J29"/>
      <c r="K29"/>
      <c r="L29"/>
      <c r="M29" s="2"/>
    </row>
    <row r="30" spans="1:17" x14ac:dyDescent="0.2">
      <c r="A30" s="62" t="s">
        <v>109</v>
      </c>
      <c r="B30" t="s">
        <v>228</v>
      </c>
      <c r="C30" s="29">
        <f>ROUND((1+C28)^$N$32,3)</f>
        <v>1.2549999999999999</v>
      </c>
      <c r="D30" s="29">
        <f>ROUND((1+D28)^$N$32,3)</f>
        <v>1.2609999999999999</v>
      </c>
      <c r="E30" s="29">
        <f>ROUND((1+E28)^$N$32,3)</f>
        <v>1.1080000000000001</v>
      </c>
      <c r="F30" s="29">
        <f>ROUND((1+F28)^$N$32,3)</f>
        <v>1.2230000000000001</v>
      </c>
      <c r="G30"/>
      <c r="H30"/>
      <c r="I30"/>
      <c r="J30"/>
      <c r="K30"/>
      <c r="L30"/>
      <c r="M30" s="2"/>
      <c r="O30" s="12" t="s">
        <v>227</v>
      </c>
    </row>
    <row r="31" spans="1:17" ht="12" thickBot="1" x14ac:dyDescent="0.25">
      <c r="A31" s="6"/>
      <c r="B31" s="6"/>
      <c r="C31" s="6"/>
      <c r="D31" s="6"/>
      <c r="E31" s="6"/>
      <c r="F31" s="6"/>
      <c r="G31"/>
      <c r="H31"/>
      <c r="I31"/>
      <c r="J31"/>
      <c r="K31"/>
      <c r="L31"/>
      <c r="M31" s="2"/>
      <c r="N31" s="12" t="s">
        <v>202</v>
      </c>
      <c r="O31" s="96" t="s">
        <v>207</v>
      </c>
      <c r="P31" s="96" t="s">
        <v>208</v>
      </c>
    </row>
    <row r="32" spans="1:17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51">
        <f>YEAR(P32)-YEAR(O32)+(MONTH(P32)-MONTH(O32))/12</f>
        <v>2.75</v>
      </c>
      <c r="O32" s="118">
        <f>DATE(YEAR(N9+1),MONTH(N9+1)-6,1)</f>
        <v>45017</v>
      </c>
      <c r="P32" s="118">
        <f>'2.5'!$I$15</f>
        <v>46023</v>
      </c>
    </row>
    <row r="33" spans="1:17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12" t="str">
        <f>C12&amp;" = "&amp;'3.3b'!$L$1&amp;", "&amp;'3.3b'!$L$2&amp;" trended forward to "&amp;TEXT($N$9,"m/d/yyyy")</f>
        <v>(2) = Exhibit 3, Sheet 3b trended forward to 9/30/2023</v>
      </c>
      <c r="F34"/>
      <c r="G34"/>
      <c r="J34"/>
      <c r="K34"/>
      <c r="L34"/>
      <c r="M34" s="2"/>
    </row>
    <row r="35" spans="1:17" x14ac:dyDescent="0.2">
      <c r="A35"/>
      <c r="B35" s="12" t="str">
        <f>D12&amp;" = "&amp;'3.3c'!$L$1&amp;", "&amp;'3.3c'!$L$2&amp;" trended forward to "&amp;TEXT($N$9,"m/d/yyyy")</f>
        <v>(3) = Exhibit 3, Sheet 3c trended forward to 9/30/2023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1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12" t="str">
        <f>F12&amp;" = 25% "&amp;E11&amp;" and 75% "&amp;D10&amp;" "&amp;D11&amp;" (most appropriate available by year)"</f>
        <v>(5) = 25% CPI and 75% Coastal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41"/>
      <c r="B39" t="str">
        <f>A30&amp;" = [1 + "&amp;A28&amp;"] ^ "&amp;$N$32&amp;" (trended from "&amp;TEXT($O$32,"m/d/yyyy")&amp;" to "&amp;TEXT($P$32,"m/d/yyyy")&amp;")"</f>
        <v>(7) = [1 + (6)] ^ 2.75 (trended from 4/1/2023 to 1/1/2026)</v>
      </c>
      <c r="C39" s="53"/>
      <c r="D39" s="28"/>
      <c r="E39" s="28"/>
      <c r="F39" s="29"/>
      <c r="G39" s="29"/>
      <c r="H39" s="19"/>
      <c r="I39" s="19"/>
      <c r="J39" s="20"/>
      <c r="K39" s="20"/>
      <c r="L39" s="20"/>
      <c r="M39" s="2"/>
    </row>
    <row r="40" spans="1:17" x14ac:dyDescent="0.2">
      <c r="A40" s="41"/>
      <c r="B40"/>
      <c r="C40" s="53"/>
      <c r="D40" s="28"/>
      <c r="E40" s="28"/>
      <c r="F40" s="20"/>
      <c r="G40" s="29"/>
      <c r="H40" s="19"/>
      <c r="I40" s="19"/>
      <c r="J40" s="20"/>
      <c r="K40" s="20"/>
      <c r="L40" s="20"/>
      <c r="M40" s="2"/>
    </row>
    <row r="41" spans="1:17" x14ac:dyDescent="0.2">
      <c r="A41" s="41"/>
      <c r="B41"/>
      <c r="C41" s="53"/>
      <c r="D41" s="28"/>
      <c r="E41" s="28"/>
      <c r="F41" s="20"/>
      <c r="G41" s="29"/>
      <c r="H41" s="19"/>
      <c r="I41" s="19"/>
      <c r="J41" s="20"/>
      <c r="K41" s="20"/>
      <c r="L41" s="20"/>
      <c r="M41" s="2"/>
    </row>
    <row r="42" spans="1:17" x14ac:dyDescent="0.2">
      <c r="A42"/>
      <c r="B42"/>
      <c r="C42" s="20"/>
      <c r="D42" s="20"/>
      <c r="E42" s="20"/>
      <c r="F42" s="20"/>
      <c r="G42"/>
      <c r="H42"/>
      <c r="I42"/>
      <c r="J42"/>
      <c r="K42"/>
      <c r="L42"/>
      <c r="M42" s="2"/>
      <c r="Q42"/>
    </row>
    <row r="43" spans="1:17" x14ac:dyDescent="0.2">
      <c r="A43" s="41"/>
      <c r="B43"/>
      <c r="C43" s="53"/>
      <c r="D43" s="28"/>
      <c r="E43" s="28"/>
      <c r="F43" s="20"/>
      <c r="G43" s="29"/>
      <c r="H43" s="19"/>
      <c r="I43" s="19"/>
      <c r="J43" s="20"/>
      <c r="K43" s="20"/>
      <c r="L43" s="20"/>
      <c r="M43" s="2"/>
    </row>
    <row r="44" spans="1:17" x14ac:dyDescent="0.2">
      <c r="A44"/>
      <c r="B44" s="23"/>
      <c r="C44" s="53"/>
      <c r="D44" s="28"/>
      <c r="E44" s="28"/>
      <c r="F44" s="20"/>
      <c r="G44" s="29"/>
      <c r="H44" s="19"/>
      <c r="I44" s="19"/>
      <c r="J44" s="20"/>
      <c r="K44" s="20"/>
      <c r="L44" s="20"/>
      <c r="M44" s="2"/>
    </row>
    <row r="45" spans="1:17" x14ac:dyDescent="0.2">
      <c r="A45" s="41"/>
      <c r="B45" s="23"/>
      <c r="C45" s="53"/>
      <c r="D45" s="28"/>
      <c r="E45" s="28"/>
      <c r="F45" s="20"/>
      <c r="G45" s="29"/>
      <c r="H45" s="19"/>
      <c r="I45" s="19"/>
      <c r="J45" s="20"/>
      <c r="K45" s="20"/>
      <c r="L45" s="20"/>
      <c r="M45" s="2"/>
    </row>
    <row r="46" spans="1:17" x14ac:dyDescent="0.2">
      <c r="A46"/>
      <c r="C46"/>
      <c r="D46"/>
      <c r="E46"/>
      <c r="F46"/>
      <c r="G46"/>
      <c r="H46"/>
      <c r="I46"/>
      <c r="L46"/>
      <c r="M46" s="2"/>
    </row>
    <row r="47" spans="1:17" x14ac:dyDescent="0.2">
      <c r="A47"/>
      <c r="C47"/>
      <c r="D47"/>
      <c r="E47"/>
      <c r="F47"/>
      <c r="H47"/>
      <c r="I47"/>
      <c r="J47"/>
      <c r="K47"/>
      <c r="L47"/>
      <c r="M47" s="2"/>
    </row>
    <row r="48" spans="1:17" x14ac:dyDescent="0.2">
      <c r="A48"/>
      <c r="C48" s="53"/>
      <c r="D48" s="28"/>
      <c r="E48" s="28"/>
      <c r="F48" s="29"/>
      <c r="G48" s="29"/>
      <c r="H48" s="19"/>
      <c r="I48" s="19"/>
      <c r="J48" s="20"/>
      <c r="K48" s="20"/>
      <c r="L48" s="20"/>
      <c r="M48" s="2"/>
    </row>
    <row r="49" spans="1:13" x14ac:dyDescent="0.2">
      <c r="A49"/>
      <c r="C49" s="53"/>
      <c r="D49" s="28"/>
      <c r="E49" s="28"/>
      <c r="F49" s="29"/>
      <c r="G49" s="29"/>
      <c r="H49" s="19"/>
      <c r="I49" s="19"/>
      <c r="J49" s="20"/>
      <c r="K49" s="20"/>
      <c r="L49" s="20"/>
      <c r="M49" s="2"/>
    </row>
    <row r="50" spans="1:13" x14ac:dyDescent="0.2">
      <c r="A50"/>
      <c r="C50" s="53"/>
      <c r="D50" s="28"/>
      <c r="E50" s="28"/>
      <c r="F50" s="29"/>
      <c r="G50" s="29"/>
      <c r="H50" s="19"/>
      <c r="I50" s="19"/>
      <c r="J50" s="20"/>
      <c r="K50" s="20"/>
      <c r="L50" s="20"/>
      <c r="M50" s="2"/>
    </row>
    <row r="51" spans="1:13" x14ac:dyDescent="0.2">
      <c r="A51"/>
      <c r="C51" s="19"/>
      <c r="D51"/>
      <c r="E51"/>
      <c r="F51"/>
      <c r="G51" s="19"/>
      <c r="H51" s="19"/>
      <c r="I51" s="19"/>
      <c r="J51" s="19"/>
      <c r="K51" s="19"/>
      <c r="L51"/>
      <c r="M51" s="2"/>
    </row>
    <row r="52" spans="1:13" x14ac:dyDescent="0.2">
      <c r="A52"/>
      <c r="C52" s="19"/>
      <c r="D52" s="19"/>
      <c r="E52"/>
      <c r="F52" s="19"/>
      <c r="G52" s="19"/>
      <c r="H52" s="19"/>
      <c r="I52" s="19"/>
      <c r="J52" s="20"/>
      <c r="K52" s="20"/>
      <c r="L52"/>
      <c r="M52" s="2"/>
    </row>
    <row r="53" spans="1:13" x14ac:dyDescent="0.2">
      <c r="A53" s="41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FF00"/>
  </sheetPr>
  <dimension ref="A1:R63"/>
  <sheetViews>
    <sheetView showGridLines="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64</v>
      </c>
      <c r="M1" s="1"/>
      <c r="Q1" s="96" t="s">
        <v>369</v>
      </c>
      <c r="R1" s="12" t="s">
        <v>368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56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215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229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217</v>
      </c>
    </row>
    <row r="9" spans="1:18" x14ac:dyDescent="0.2">
      <c r="A9" t="s">
        <v>189</v>
      </c>
      <c r="B9"/>
      <c r="C9" s="194" t="s">
        <v>230</v>
      </c>
      <c r="D9" s="235" t="s">
        <v>231</v>
      </c>
      <c r="E9" s="235"/>
      <c r="F9" s="235"/>
      <c r="G9" s="235"/>
      <c r="H9" s="235"/>
      <c r="I9" s="235"/>
      <c r="J9" s="235"/>
      <c r="K9" s="235"/>
      <c r="L9"/>
      <c r="M9" s="2"/>
      <c r="N9" s="59">
        <v>45291</v>
      </c>
    </row>
    <row r="10" spans="1:18" x14ac:dyDescent="0.2">
      <c r="A10" t="s">
        <v>213</v>
      </c>
      <c r="B10"/>
      <c r="C10" s="11" t="s">
        <v>218</v>
      </c>
      <c r="D10" s="11" t="s">
        <v>232</v>
      </c>
      <c r="E10" s="11"/>
      <c r="F10" s="11" t="s">
        <v>233</v>
      </c>
      <c r="G10" s="11"/>
      <c r="H10" s="11" t="s">
        <v>234</v>
      </c>
      <c r="I10" s="11"/>
      <c r="J10" s="11" t="s">
        <v>235</v>
      </c>
      <c r="K10" s="11"/>
      <c r="L10"/>
      <c r="M10" s="2"/>
      <c r="P10"/>
      <c r="Q10"/>
    </row>
    <row r="11" spans="1:18" x14ac:dyDescent="0.2">
      <c r="A11" s="9" t="s">
        <v>33</v>
      </c>
      <c r="B11" s="9"/>
      <c r="C11" s="125" t="s">
        <v>214</v>
      </c>
      <c r="D11" s="125" t="s">
        <v>236</v>
      </c>
      <c r="E11" s="125" t="s">
        <v>237</v>
      </c>
      <c r="F11" s="125" t="s">
        <v>236</v>
      </c>
      <c r="G11" s="125" t="s">
        <v>237</v>
      </c>
      <c r="H11" s="125" t="s">
        <v>236</v>
      </c>
      <c r="I11" s="125" t="s">
        <v>237</v>
      </c>
      <c r="J11" s="125" t="s">
        <v>236</v>
      </c>
      <c r="K11" s="125" t="s">
        <v>237</v>
      </c>
      <c r="L11"/>
      <c r="M11" s="2"/>
      <c r="N11" s="9" t="s">
        <v>214</v>
      </c>
      <c r="Q11"/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8" x14ac:dyDescent="0.2">
      <c r="A14" s="12" t="str">
        <f t="shared" ref="A14:A51" si="1">TEXT(DATE(YEAR(A15+1),MONTH(A15+1)-3,1)-1,"m/d/yyyy")</f>
        <v>3/31/2014</v>
      </c>
      <c r="B14" s="23"/>
      <c r="C14" s="201">
        <f>'[2]Boeckh (R)'!D70</f>
        <v>2220.3283021875</v>
      </c>
      <c r="D14" s="202">
        <f>TREND($C$14:$C$53,$N$14:$N$53,$N14,TRUE)</f>
        <v>2035.4113476665225</v>
      </c>
      <c r="E14" s="202">
        <f>GROWTH($C$14:$C$53,$N$14:$N$53,$N14,TRUE)</f>
        <v>2089.6168913728475</v>
      </c>
      <c r="F14" s="141"/>
      <c r="G14" s="141"/>
      <c r="H14" s="141"/>
      <c r="I14" s="141"/>
      <c r="J14" s="141"/>
      <c r="K14" s="141"/>
      <c r="L14"/>
      <c r="M14" s="2"/>
      <c r="N14" s="12">
        <f t="shared" ref="N14:N53" si="2">YEAR(A14)+MONTH(A14)/12</f>
        <v>2014.25</v>
      </c>
      <c r="O14"/>
      <c r="Q14"/>
    </row>
    <row r="15" spans="1:18" x14ac:dyDescent="0.2">
      <c r="A15" s="12" t="str">
        <f t="shared" si="1"/>
        <v>6/30/2014</v>
      </c>
      <c r="B15" s="23"/>
      <c r="C15" s="201">
        <f>'[2]Boeckh (R)'!D71</f>
        <v>2239.6942039062501</v>
      </c>
      <c r="D15" s="202">
        <f t="shared" ref="D15:D53" si="3">TREND($C$14:$C$53,$N$14:$N$53,$N15,TRUE)</f>
        <v>2063.0909787964192</v>
      </c>
      <c r="E15" s="202">
        <f t="shared" ref="E15:E53" si="4">GROWTH($C$14:$C$53,$N$14:$N$53,$N15,TRUE)</f>
        <v>2111.1403054486891</v>
      </c>
      <c r="F15" s="141"/>
      <c r="G15" s="141"/>
      <c r="H15" s="141"/>
      <c r="I15" s="141"/>
      <c r="J15" s="141"/>
      <c r="K15" s="141"/>
      <c r="L15"/>
      <c r="M15" s="2"/>
      <c r="N15" s="12">
        <f t="shared" si="2"/>
        <v>2014.5</v>
      </c>
      <c r="O15" s="17"/>
      <c r="P15" s="17"/>
      <c r="Q15" s="17"/>
    </row>
    <row r="16" spans="1:18" x14ac:dyDescent="0.2">
      <c r="A16" s="12" t="str">
        <f t="shared" si="1"/>
        <v>9/30/2014</v>
      </c>
      <c r="B16" s="23"/>
      <c r="C16" s="201">
        <f>'[2]Boeckh (R)'!D72</f>
        <v>2258.097684375</v>
      </c>
      <c r="D16" s="202">
        <f t="shared" si="3"/>
        <v>2090.7706099262869</v>
      </c>
      <c r="E16" s="202">
        <f t="shared" si="4"/>
        <v>2132.8854143985177</v>
      </c>
      <c r="F16" s="141"/>
      <c r="G16" s="141"/>
      <c r="H16" s="141"/>
      <c r="I16" s="141"/>
      <c r="J16" s="141"/>
      <c r="K16" s="141"/>
      <c r="L16"/>
      <c r="M16" s="2"/>
      <c r="N16" s="12">
        <f t="shared" si="2"/>
        <v>2014.75</v>
      </c>
      <c r="O16"/>
      <c r="Q16"/>
    </row>
    <row r="17" spans="1:17" x14ac:dyDescent="0.2">
      <c r="A17" s="12" t="str">
        <f t="shared" si="1"/>
        <v>12/31/2014</v>
      </c>
      <c r="B17" s="23"/>
      <c r="C17" s="201">
        <f>'[2]Boeckh (R)'!D73</f>
        <v>2276.2315937499998</v>
      </c>
      <c r="D17" s="202">
        <f t="shared" si="3"/>
        <v>2118.4502410561545</v>
      </c>
      <c r="E17" s="202">
        <f t="shared" si="4"/>
        <v>2154.8545017178021</v>
      </c>
      <c r="F17" s="141"/>
      <c r="G17" s="141"/>
      <c r="H17" s="141"/>
      <c r="I17" s="141"/>
      <c r="J17" s="141"/>
      <c r="K17" s="141"/>
      <c r="L17"/>
      <c r="M17" s="2"/>
      <c r="N17" s="12">
        <f t="shared" si="2"/>
        <v>2015</v>
      </c>
      <c r="O17"/>
      <c r="Q17"/>
    </row>
    <row r="18" spans="1:17" x14ac:dyDescent="0.2">
      <c r="A18" s="12" t="str">
        <f t="shared" si="1"/>
        <v>3/31/2015</v>
      </c>
      <c r="B18" s="23"/>
      <c r="C18" s="201">
        <f>'[2]Boeckh (R)'!D74</f>
        <v>2294.2500117187501</v>
      </c>
      <c r="D18" s="202">
        <f t="shared" si="3"/>
        <v>2146.1298721860512</v>
      </c>
      <c r="E18" s="202">
        <f t="shared" si="4"/>
        <v>2177.0498744222818</v>
      </c>
      <c r="F18" s="141"/>
      <c r="G18" s="141"/>
      <c r="H18" s="141"/>
      <c r="I18" s="141"/>
      <c r="J18" s="141"/>
      <c r="K18" s="141"/>
      <c r="L18"/>
      <c r="M18" s="2"/>
      <c r="N18" s="12">
        <f t="shared" si="2"/>
        <v>2015.25</v>
      </c>
      <c r="Q18"/>
    </row>
    <row r="19" spans="1:17" x14ac:dyDescent="0.2">
      <c r="A19" s="12" t="str">
        <f t="shared" si="1"/>
        <v>6/30/2015</v>
      </c>
      <c r="B19" s="23"/>
      <c r="C19" s="201">
        <f>'[2]Boeckh (R)'!D75</f>
        <v>2308.207544375</v>
      </c>
      <c r="D19" s="202">
        <f t="shared" si="3"/>
        <v>2173.8095033159188</v>
      </c>
      <c r="E19" s="202">
        <f t="shared" si="4"/>
        <v>2199.4738632904828</v>
      </c>
      <c r="F19" s="141"/>
      <c r="G19" s="141"/>
      <c r="H19" s="141"/>
      <c r="I19" s="141"/>
      <c r="J19" s="141"/>
      <c r="K19" s="141"/>
      <c r="L19"/>
      <c r="M19" s="2"/>
      <c r="N19" s="12">
        <f t="shared" si="2"/>
        <v>2015.5</v>
      </c>
      <c r="Q19"/>
    </row>
    <row r="20" spans="1:17" x14ac:dyDescent="0.2">
      <c r="A20" s="12" t="str">
        <f t="shared" si="1"/>
        <v>9/30/2015</v>
      </c>
      <c r="B20" s="23"/>
      <c r="C20" s="201">
        <f>'[2]Boeckh (R)'!D76</f>
        <v>2316.6742154687504</v>
      </c>
      <c r="D20" s="202">
        <f t="shared" si="3"/>
        <v>2201.4891344458156</v>
      </c>
      <c r="E20" s="202">
        <f t="shared" si="4"/>
        <v>2222.1288231082235</v>
      </c>
      <c r="F20" s="141"/>
      <c r="G20" s="141"/>
      <c r="H20" s="141"/>
      <c r="I20" s="141"/>
      <c r="J20" s="141"/>
      <c r="K20" s="141"/>
      <c r="L20"/>
      <c r="M20" s="2"/>
      <c r="N20" s="12">
        <f t="shared" si="2"/>
        <v>2015.75</v>
      </c>
      <c r="Q20"/>
    </row>
    <row r="21" spans="1:17" x14ac:dyDescent="0.2">
      <c r="A21" s="12" t="str">
        <f t="shared" si="1"/>
        <v>12/31/2015</v>
      </c>
      <c r="B21" s="23"/>
      <c r="C21" s="201">
        <f>'[2]Boeckh (R)'!D77</f>
        <v>2320.5560001562499</v>
      </c>
      <c r="D21" s="202">
        <f>TREND($C$14:$C$53,$N$14:$N$53,$N21,TRUE)</f>
        <v>2229.1687655756832</v>
      </c>
      <c r="E21" s="202">
        <f t="shared" si="4"/>
        <v>2245.0171329161508</v>
      </c>
      <c r="F21" s="141"/>
      <c r="G21" s="141"/>
      <c r="H21" s="141"/>
      <c r="I21" s="141"/>
      <c r="J21" s="141"/>
      <c r="K21" s="141"/>
      <c r="L21"/>
      <c r="M21" s="2"/>
      <c r="N21" s="12">
        <f t="shared" si="2"/>
        <v>2016</v>
      </c>
      <c r="Q21"/>
    </row>
    <row r="22" spans="1:17" x14ac:dyDescent="0.2">
      <c r="A22" s="12" t="str">
        <f t="shared" si="1"/>
        <v>3/31/2016</v>
      </c>
      <c r="B22" s="23"/>
      <c r="C22" s="201">
        <f>'[2]Boeckh (R)'!D78</f>
        <v>2317.1148612500001</v>
      </c>
      <c r="D22" s="202">
        <f t="shared" si="3"/>
        <v>2256.8483967055799</v>
      </c>
      <c r="E22" s="202">
        <f t="shared" si="4"/>
        <v>2268.1411962593115</v>
      </c>
      <c r="F22" s="141"/>
      <c r="G22" s="141"/>
      <c r="H22" s="141"/>
      <c r="I22" s="141"/>
      <c r="J22" s="141"/>
      <c r="K22" s="141"/>
      <c r="L22"/>
      <c r="M22" s="2"/>
      <c r="N22" s="12">
        <f t="shared" si="2"/>
        <v>2016.25</v>
      </c>
      <c r="Q22"/>
    </row>
    <row r="23" spans="1:17" x14ac:dyDescent="0.2">
      <c r="A23" s="12" t="str">
        <f t="shared" si="1"/>
        <v>6/30/2016</v>
      </c>
      <c r="B23" s="23"/>
      <c r="C23" s="201">
        <f>'[2]Boeckh (R)'!D79</f>
        <v>2309.1157557812498</v>
      </c>
      <c r="D23" s="202">
        <f t="shared" si="3"/>
        <v>2284.5280278354476</v>
      </c>
      <c r="E23" s="202">
        <f t="shared" si="4"/>
        <v>2291.5034414398092</v>
      </c>
      <c r="F23" s="141"/>
      <c r="G23" s="141"/>
      <c r="H23" s="141"/>
      <c r="I23" s="141"/>
      <c r="J23" s="141"/>
      <c r="K23" s="141"/>
      <c r="L23"/>
      <c r="M23" s="2"/>
      <c r="N23" s="12">
        <f t="shared" si="2"/>
        <v>2016.5</v>
      </c>
      <c r="Q23"/>
    </row>
    <row r="24" spans="1:17" x14ac:dyDescent="0.2">
      <c r="A24" s="12" t="str">
        <f t="shared" si="1"/>
        <v>9/30/2016</v>
      </c>
      <c r="B24"/>
      <c r="C24" s="201">
        <f>'[2]Boeckh (R)'!D80</f>
        <v>2302.0210120312499</v>
      </c>
      <c r="D24" s="202">
        <f t="shared" si="3"/>
        <v>2312.2076589653443</v>
      </c>
      <c r="E24" s="202">
        <f t="shared" si="4"/>
        <v>2315.1063217715482</v>
      </c>
      <c r="F24" s="141"/>
      <c r="G24" s="141"/>
      <c r="H24" s="141"/>
      <c r="I24" s="141"/>
      <c r="J24" s="141"/>
      <c r="K24" s="141"/>
      <c r="L24"/>
      <c r="M24" s="2"/>
      <c r="N24" s="12">
        <f t="shared" si="2"/>
        <v>2016.75</v>
      </c>
      <c r="Q24"/>
    </row>
    <row r="25" spans="1:17" x14ac:dyDescent="0.2">
      <c r="A25" s="12" t="str">
        <f t="shared" si="1"/>
        <v>12/31/2016</v>
      </c>
      <c r="B25"/>
      <c r="C25" s="201">
        <f>'[2]Boeckh (R)'!D81</f>
        <v>2297.3808087500001</v>
      </c>
      <c r="D25" s="202">
        <f t="shared" si="3"/>
        <v>2339.8872900952119</v>
      </c>
      <c r="E25" s="202">
        <f t="shared" si="4"/>
        <v>2338.9523158381207</v>
      </c>
      <c r="F25" s="141"/>
      <c r="G25" s="141"/>
      <c r="H25" s="141"/>
      <c r="I25" s="141"/>
      <c r="J25" s="141"/>
      <c r="K25" s="141"/>
      <c r="L25"/>
      <c r="M25" s="2"/>
      <c r="N25" s="12">
        <f t="shared" si="2"/>
        <v>2017</v>
      </c>
      <c r="Q25"/>
    </row>
    <row r="26" spans="1:17" x14ac:dyDescent="0.2">
      <c r="A26" s="12" t="str">
        <f t="shared" si="1"/>
        <v>3/31/2017</v>
      </c>
      <c r="B26"/>
      <c r="C26" s="201">
        <f>'[2]Boeckh (R)'!D82</f>
        <v>2300.3061167187502</v>
      </c>
      <c r="D26" s="202">
        <f t="shared" si="3"/>
        <v>2367.5669212251087</v>
      </c>
      <c r="E26" s="202">
        <f t="shared" si="4"/>
        <v>2363.0439277528226</v>
      </c>
      <c r="F26" s="141"/>
      <c r="G26" s="141"/>
      <c r="H26" s="141"/>
      <c r="I26" s="141"/>
      <c r="J26" s="141"/>
      <c r="K26" s="141"/>
      <c r="L26"/>
      <c r="M26" s="2"/>
      <c r="N26" s="12">
        <f t="shared" si="2"/>
        <v>2017.25</v>
      </c>
    </row>
    <row r="27" spans="1:17" x14ac:dyDescent="0.2">
      <c r="A27" s="12" t="str">
        <f t="shared" si="1"/>
        <v>6/30/2017</v>
      </c>
      <c r="B27"/>
      <c r="C27" s="201">
        <f>'[2]Boeckh (R)'!D83</f>
        <v>2310.7307646875001</v>
      </c>
      <c r="D27" s="202">
        <f t="shared" si="3"/>
        <v>2395.2465523549763</v>
      </c>
      <c r="E27" s="202">
        <f t="shared" si="4"/>
        <v>2387.3836874218837</v>
      </c>
      <c r="F27" s="141"/>
      <c r="G27" s="141"/>
      <c r="H27" s="141"/>
      <c r="I27" s="141"/>
      <c r="J27" s="141"/>
      <c r="K27" s="141"/>
      <c r="L27"/>
      <c r="M27" s="2"/>
      <c r="N27" s="12">
        <f t="shared" si="2"/>
        <v>2017.5</v>
      </c>
    </row>
    <row r="28" spans="1:17" x14ac:dyDescent="0.2">
      <c r="A28" s="12" t="str">
        <f t="shared" si="1"/>
        <v>9/30/2017</v>
      </c>
      <c r="B28"/>
      <c r="C28" s="201">
        <f>'[2]Boeckh (R)'!D84</f>
        <v>2327.2925764062502</v>
      </c>
      <c r="D28" s="202">
        <f t="shared" si="3"/>
        <v>2422.926183484873</v>
      </c>
      <c r="E28" s="202">
        <f t="shared" si="4"/>
        <v>2411.9741508098682</v>
      </c>
      <c r="F28" s="141"/>
      <c r="G28" s="141"/>
      <c r="H28" s="141"/>
      <c r="I28" s="141"/>
      <c r="J28" s="141"/>
      <c r="K28" s="141"/>
      <c r="L28"/>
      <c r="M28" s="2"/>
      <c r="N28" s="12">
        <f t="shared" si="2"/>
        <v>2017.75</v>
      </c>
    </row>
    <row r="29" spans="1:17" x14ac:dyDescent="0.2">
      <c r="A29" s="12" t="str">
        <f t="shared" si="1"/>
        <v>12/31/2017</v>
      </c>
      <c r="B29"/>
      <c r="C29" s="201">
        <f>'[2]Boeckh (R)'!D85</f>
        <v>2344.8282396875002</v>
      </c>
      <c r="D29" s="202">
        <f t="shared" si="3"/>
        <v>2450.6058146147407</v>
      </c>
      <c r="E29" s="202">
        <f t="shared" si="4"/>
        <v>2436.8179002083516</v>
      </c>
      <c r="F29" s="141"/>
      <c r="G29" s="141"/>
      <c r="H29" s="141"/>
      <c r="I29" s="141"/>
      <c r="J29" s="141"/>
      <c r="K29" s="141"/>
      <c r="L29"/>
      <c r="M29" s="2"/>
      <c r="N29" s="12">
        <f t="shared" si="2"/>
        <v>2018</v>
      </c>
    </row>
    <row r="30" spans="1:17" x14ac:dyDescent="0.2">
      <c r="A30" s="12" t="str">
        <f t="shared" si="1"/>
        <v>3/31/2018</v>
      </c>
      <c r="B30"/>
      <c r="C30" s="201">
        <f>'[2]Boeckh (R)'!D86</f>
        <v>2364.8108618750002</v>
      </c>
      <c r="D30" s="202">
        <f t="shared" si="3"/>
        <v>2478.2854457446083</v>
      </c>
      <c r="E30" s="202">
        <f t="shared" si="4"/>
        <v>2461.9175445068217</v>
      </c>
      <c r="F30" s="141"/>
      <c r="G30" s="141"/>
      <c r="H30" s="141"/>
      <c r="I30" s="141"/>
      <c r="J30" s="141"/>
      <c r="K30" s="141"/>
      <c r="L30"/>
      <c r="M30" s="2"/>
      <c r="N30" s="12">
        <f t="shared" si="2"/>
        <v>2018.25</v>
      </c>
      <c r="O30" s="51"/>
      <c r="P30" s="37"/>
    </row>
    <row r="31" spans="1:17" x14ac:dyDescent="0.2">
      <c r="A31" s="12" t="str">
        <f t="shared" si="1"/>
        <v>6/30/2018</v>
      </c>
      <c r="B31"/>
      <c r="C31" s="201">
        <f>'[2]Boeckh (R)'!D87</f>
        <v>2388.1081287500001</v>
      </c>
      <c r="D31" s="202">
        <f t="shared" si="3"/>
        <v>2505.965076874505</v>
      </c>
      <c r="E31" s="202">
        <f t="shared" si="4"/>
        <v>2487.2757194669143</v>
      </c>
      <c r="F31" s="141"/>
      <c r="G31" s="141"/>
      <c r="H31" s="141"/>
      <c r="I31" s="141"/>
      <c r="J31" s="141"/>
      <c r="K31" s="141"/>
      <c r="L31" s="29"/>
      <c r="M31" s="2"/>
      <c r="N31" s="12">
        <f t="shared" si="2"/>
        <v>2018.5</v>
      </c>
    </row>
    <row r="32" spans="1:17" x14ac:dyDescent="0.2">
      <c r="A32" s="12" t="str">
        <f t="shared" si="1"/>
        <v>9/30/2018</v>
      </c>
      <c r="B32"/>
      <c r="C32" s="201">
        <f>'[2]Boeckh (R)'!D88</f>
        <v>2414.6807554687502</v>
      </c>
      <c r="D32" s="202">
        <f t="shared" si="3"/>
        <v>2533.6447080043727</v>
      </c>
      <c r="E32" s="202">
        <f t="shared" si="4"/>
        <v>2512.8950879989256</v>
      </c>
      <c r="F32" s="141"/>
      <c r="G32" s="141"/>
      <c r="H32" s="141"/>
      <c r="I32" s="141"/>
      <c r="J32" s="141"/>
      <c r="K32" s="141"/>
      <c r="L32" s="29"/>
      <c r="M32" s="2"/>
      <c r="N32" s="12">
        <f t="shared" si="2"/>
        <v>2018.75</v>
      </c>
    </row>
    <row r="33" spans="1:14" x14ac:dyDescent="0.2">
      <c r="A33" s="12" t="str">
        <f t="shared" si="1"/>
        <v>12/31/2018</v>
      </c>
      <c r="B33" s="23"/>
      <c r="C33" s="201">
        <f>'[2]Boeckh (R)'!D89</f>
        <v>2442.3011040625001</v>
      </c>
      <c r="D33" s="202">
        <f t="shared" si="3"/>
        <v>2561.3243391342694</v>
      </c>
      <c r="E33" s="202">
        <f t="shared" si="4"/>
        <v>2538.7783404417282</v>
      </c>
      <c r="F33" s="141"/>
      <c r="G33" s="141"/>
      <c r="H33" s="141"/>
      <c r="I33" s="141"/>
      <c r="J33" s="141"/>
      <c r="K33" s="141"/>
      <c r="L33" s="29"/>
      <c r="M33" s="2"/>
      <c r="N33" s="12">
        <f t="shared" si="2"/>
        <v>2019</v>
      </c>
    </row>
    <row r="34" spans="1:14" x14ac:dyDescent="0.2">
      <c r="A34" s="12" t="str">
        <f t="shared" si="1"/>
        <v>3/31/2019</v>
      </c>
      <c r="B34" s="23"/>
      <c r="C34" s="201">
        <f>'[2]Boeckh (R)'!D90</f>
        <v>2462.8844337500004</v>
      </c>
      <c r="D34" s="202">
        <f t="shared" si="3"/>
        <v>2589.003970264137</v>
      </c>
      <c r="E34" s="202">
        <f t="shared" si="4"/>
        <v>2564.9281948450048</v>
      </c>
      <c r="F34" s="202">
        <f>TREND($C$34:$C$53,$N$34:$N$53,$N34,TRUE)</f>
        <v>2273.9071490713977</v>
      </c>
      <c r="G34" s="202">
        <f t="shared" ref="G34:G52" si="5">GROWTH($C$34:$C$53,$N$34:$N$53,$N34,TRUE)</f>
        <v>2311.2061433748568</v>
      </c>
      <c r="H34" s="141"/>
      <c r="I34" s="141"/>
      <c r="J34" s="141"/>
      <c r="K34" s="141"/>
      <c r="L34" s="29"/>
      <c r="M34" s="2"/>
      <c r="N34" s="12">
        <f t="shared" si="2"/>
        <v>2019.25</v>
      </c>
    </row>
    <row r="35" spans="1:14" x14ac:dyDescent="0.2">
      <c r="A35" s="12" t="str">
        <f t="shared" si="1"/>
        <v>6/30/2019</v>
      </c>
      <c r="B35"/>
      <c r="C35" s="201">
        <f>'[2]Boeckh (R)'!D91</f>
        <v>2472.7201762499999</v>
      </c>
      <c r="D35" s="202">
        <f t="shared" si="3"/>
        <v>2616.6836013940338</v>
      </c>
      <c r="E35" s="202">
        <f t="shared" si="4"/>
        <v>2591.3473972549637</v>
      </c>
      <c r="F35" s="202">
        <f t="shared" ref="F35:F52" si="6">TREND($C$34:$C$53,$N$34:$N$53,$N35,TRUE)</f>
        <v>2332.7265841510962</v>
      </c>
      <c r="G35" s="202">
        <f t="shared" si="5"/>
        <v>2359.2741137585522</v>
      </c>
      <c r="H35" s="141"/>
      <c r="I35" s="141"/>
      <c r="J35" s="141"/>
      <c r="K35" s="141"/>
      <c r="L35" s="29"/>
      <c r="M35" s="2"/>
      <c r="N35" s="12">
        <f t="shared" si="2"/>
        <v>2019.5</v>
      </c>
    </row>
    <row r="36" spans="1:14" x14ac:dyDescent="0.2">
      <c r="A36" s="12" t="str">
        <f t="shared" si="1"/>
        <v>9/30/2019</v>
      </c>
      <c r="C36" s="201">
        <f>'[2]Boeckh (R)'!D92</f>
        <v>2472.2661548437504</v>
      </c>
      <c r="D36" s="202">
        <f t="shared" si="3"/>
        <v>2644.3632325239014</v>
      </c>
      <c r="E36" s="202">
        <f t="shared" si="4"/>
        <v>2618.0387220024154</v>
      </c>
      <c r="F36" s="202">
        <f t="shared" si="6"/>
        <v>2391.5460192307364</v>
      </c>
      <c r="G36" s="202">
        <f t="shared" si="5"/>
        <v>2408.3417914956699</v>
      </c>
      <c r="H36" s="141"/>
      <c r="I36" s="141"/>
      <c r="J36" s="141"/>
      <c r="K36" s="141"/>
      <c r="L36"/>
      <c r="M36" s="2"/>
      <c r="N36" s="12">
        <f t="shared" si="2"/>
        <v>2019.75</v>
      </c>
    </row>
    <row r="37" spans="1:14" x14ac:dyDescent="0.2">
      <c r="A37" s="12" t="str">
        <f t="shared" si="1"/>
        <v>12/31/2019</v>
      </c>
      <c r="C37" s="201">
        <f>'[2]Boeckh (R)'!D93</f>
        <v>2470.0847985937498</v>
      </c>
      <c r="D37" s="202">
        <f t="shared" si="3"/>
        <v>2672.0428636537981</v>
      </c>
      <c r="E37" s="202">
        <f t="shared" si="4"/>
        <v>2645.0049719944045</v>
      </c>
      <c r="F37" s="202">
        <f t="shared" si="6"/>
        <v>2450.3654543103767</v>
      </c>
      <c r="G37" s="202">
        <f t="shared" si="5"/>
        <v>2458.4299682856417</v>
      </c>
      <c r="H37" s="141"/>
      <c r="I37" s="202"/>
      <c r="J37" s="141"/>
      <c r="K37" s="202"/>
      <c r="M37" s="2"/>
      <c r="N37" s="12">
        <f t="shared" si="2"/>
        <v>2020</v>
      </c>
    </row>
    <row r="38" spans="1:14" x14ac:dyDescent="0.2">
      <c r="A38" s="12" t="str">
        <f t="shared" si="1"/>
        <v>3/31/2020</v>
      </c>
      <c r="C38" s="201">
        <f>'[2]Boeckh (R)'!D94</f>
        <v>2471.0252401562502</v>
      </c>
      <c r="D38" s="202">
        <f t="shared" si="3"/>
        <v>2699.7224947836658</v>
      </c>
      <c r="E38" s="202">
        <f t="shared" si="4"/>
        <v>2672.2489790082514</v>
      </c>
      <c r="F38" s="202">
        <f t="shared" si="6"/>
        <v>2509.1848893900169</v>
      </c>
      <c r="G38" s="202">
        <f t="shared" si="5"/>
        <v>2509.5598682492114</v>
      </c>
      <c r="H38" s="202">
        <f t="shared" ref="H38:H53" si="7">TREND($C$38:$C$53,$N$38:$N$53,$N38,TRUE)</f>
        <v>2381.3696713866666</v>
      </c>
      <c r="I38" s="202">
        <f t="shared" ref="I38:I53" si="8">GROWTH($C$38:$C$53,$N$38:$N$53,$N38,TRUE)</f>
        <v>2405.8118570756337</v>
      </c>
      <c r="J38" s="141"/>
      <c r="K38" s="141"/>
      <c r="L38" s="29"/>
      <c r="M38" s="2"/>
      <c r="N38" s="12">
        <f t="shared" si="2"/>
        <v>2020.25</v>
      </c>
    </row>
    <row r="39" spans="1:14" x14ac:dyDescent="0.2">
      <c r="A39" s="12" t="str">
        <f t="shared" si="1"/>
        <v>6/30/2020</v>
      </c>
      <c r="C39" s="201">
        <f>'[2]Boeckh (R)'!D95</f>
        <v>2477.9154082812502</v>
      </c>
      <c r="D39" s="202">
        <f t="shared" si="3"/>
        <v>2727.4021259135625</v>
      </c>
      <c r="E39" s="202">
        <f t="shared" si="4"/>
        <v>2699.7736039892211</v>
      </c>
      <c r="F39" s="202">
        <f t="shared" si="6"/>
        <v>2568.0043244696571</v>
      </c>
      <c r="G39" s="202">
        <f t="shared" si="5"/>
        <v>2561.7531569218386</v>
      </c>
      <c r="H39" s="202">
        <f t="shared" si="7"/>
        <v>2453.65271589451</v>
      </c>
      <c r="I39" s="202">
        <f t="shared" si="8"/>
        <v>2466.8016199102558</v>
      </c>
      <c r="J39" s="141"/>
      <c r="K39" s="141"/>
      <c r="L39" s="29"/>
      <c r="M39" s="2"/>
      <c r="N39" s="12">
        <f t="shared" si="2"/>
        <v>2020.5</v>
      </c>
    </row>
    <row r="40" spans="1:14" x14ac:dyDescent="0.2">
      <c r="A40" s="12" t="str">
        <f t="shared" si="1"/>
        <v>9/30/2020</v>
      </c>
      <c r="C40" s="201">
        <f>'[2]Boeckh (R)'!D96</f>
        <v>2489.2858059374998</v>
      </c>
      <c r="D40" s="202">
        <f t="shared" si="3"/>
        <v>2755.0817570434301</v>
      </c>
      <c r="E40" s="202">
        <f t="shared" si="4"/>
        <v>2727.5817373506561</v>
      </c>
      <c r="F40" s="202">
        <f t="shared" si="6"/>
        <v>2626.8237595493556</v>
      </c>
      <c r="G40" s="202">
        <f t="shared" si="5"/>
        <v>2615.0319504341505</v>
      </c>
      <c r="H40" s="202">
        <f t="shared" si="7"/>
        <v>2525.9357604023535</v>
      </c>
      <c r="I40" s="202">
        <f t="shared" si="8"/>
        <v>2529.3375348928566</v>
      </c>
      <c r="J40" s="141"/>
      <c r="K40" s="141"/>
      <c r="L40" s="29"/>
      <c r="M40" s="2"/>
      <c r="N40" s="12">
        <f t="shared" si="2"/>
        <v>2020.75</v>
      </c>
    </row>
    <row r="41" spans="1:14" x14ac:dyDescent="0.2">
      <c r="A41" s="12" t="str">
        <f t="shared" si="1"/>
        <v>12/31/2020</v>
      </c>
      <c r="C41" s="201">
        <f>'[2]Boeckh (R)'!D97</f>
        <v>2517.5756589062503</v>
      </c>
      <c r="D41" s="202">
        <f t="shared" si="3"/>
        <v>2782.7613881732977</v>
      </c>
      <c r="E41" s="202">
        <f>GROWTH($C$14:$C$53,$N$14:$N$53,$N41,TRUE)</f>
        <v>2755.6762992778099</v>
      </c>
      <c r="F41" s="202">
        <f t="shared" si="6"/>
        <v>2685.6431946289958</v>
      </c>
      <c r="G41" s="202">
        <f t="shared" si="5"/>
        <v>2669.4188248832479</v>
      </c>
      <c r="H41" s="202">
        <f t="shared" si="7"/>
        <v>2598.2188049101969</v>
      </c>
      <c r="I41" s="202">
        <f t="shared" si="8"/>
        <v>2593.4587985436797</v>
      </c>
      <c r="J41" s="141"/>
      <c r="K41" s="141"/>
      <c r="L41" s="19"/>
      <c r="M41" s="2"/>
      <c r="N41" s="12">
        <f t="shared" si="2"/>
        <v>2021</v>
      </c>
    </row>
    <row r="42" spans="1:14" x14ac:dyDescent="0.2">
      <c r="A42" s="12" t="str">
        <f t="shared" si="1"/>
        <v>3/31/2021</v>
      </c>
      <c r="C42" s="201">
        <f>'[2]Boeckh (R)'!D98</f>
        <v>2554.28473109375</v>
      </c>
      <c r="D42" s="202">
        <f t="shared" si="3"/>
        <v>2810.4410193031945</v>
      </c>
      <c r="E42" s="202">
        <f t="shared" si="4"/>
        <v>2784.0602400341882</v>
      </c>
      <c r="F42" s="202">
        <f>TREND($C$34:$C$53,$N$34:$N$53,$N42,TRUE)</f>
        <v>2744.4626297086361</v>
      </c>
      <c r="G42" s="202">
        <f t="shared" si="5"/>
        <v>2724.9368258992895</v>
      </c>
      <c r="H42" s="202">
        <f t="shared" si="7"/>
        <v>2670.5018494179239</v>
      </c>
      <c r="I42" s="202">
        <f t="shared" si="8"/>
        <v>2659.2056010541683</v>
      </c>
      <c r="J42" s="202">
        <f t="shared" ref="J42:J52" si="9">TREND($C$42:$C$53,$N$42:$N$53,$N42,TRUE)</f>
        <v>2660.8251752164215</v>
      </c>
      <c r="K42" s="202">
        <f>GROWTH($C$42:$C$53,$N$42:$N$53,$N42,TRUE)</f>
        <v>2664.4963713338102</v>
      </c>
      <c r="L42" s="65"/>
      <c r="M42" s="2"/>
      <c r="N42" s="12">
        <f t="shared" si="2"/>
        <v>2021.25</v>
      </c>
    </row>
    <row r="43" spans="1:14" x14ac:dyDescent="0.2">
      <c r="A43" s="12" t="str">
        <f t="shared" si="1"/>
        <v>6/30/2021</v>
      </c>
      <c r="B43"/>
      <c r="C43" s="201">
        <f>'[2]Boeckh (R)'!D99</f>
        <v>2628.5109107812495</v>
      </c>
      <c r="D43" s="202">
        <f t="shared" si="3"/>
        <v>2838.1206504330621</v>
      </c>
      <c r="E43" s="202">
        <f t="shared" si="4"/>
        <v>2812.7365402716391</v>
      </c>
      <c r="F43" s="202">
        <f t="shared" si="6"/>
        <v>2803.2820647882763</v>
      </c>
      <c r="G43" s="202">
        <f t="shared" si="5"/>
        <v>2781.6094784102879</v>
      </c>
      <c r="H43" s="202">
        <f t="shared" si="7"/>
        <v>2742.7848939257674</v>
      </c>
      <c r="I43" s="202">
        <f t="shared" si="8"/>
        <v>2726.6191514778211</v>
      </c>
      <c r="J43" s="202">
        <f t="shared" si="9"/>
        <v>2734.9187489625765</v>
      </c>
      <c r="K43" s="202">
        <f t="shared" ref="K43:K52" si="10">GROWTH($C$42:$C$53,$N$42:$N$53,$N43,TRUE)</f>
        <v>2731.653522642082</v>
      </c>
      <c r="L43" s="65"/>
      <c r="M43" s="2"/>
      <c r="N43" s="12">
        <f t="shared" si="2"/>
        <v>2021.5</v>
      </c>
    </row>
    <row r="44" spans="1:14" x14ac:dyDescent="0.2">
      <c r="A44" s="12" t="str">
        <f t="shared" si="1"/>
        <v>9/30/2021</v>
      </c>
      <c r="C44" s="201">
        <f>'[2]Boeckh (R)'!D100</f>
        <v>2779.9664721874997</v>
      </c>
      <c r="D44" s="202">
        <f t="shared" si="3"/>
        <v>2865.8002815629588</v>
      </c>
      <c r="E44" s="202">
        <f t="shared" si="4"/>
        <v>2841.7082113432402</v>
      </c>
      <c r="F44" s="202">
        <f t="shared" si="6"/>
        <v>2862.1014998679166</v>
      </c>
      <c r="G44" s="202">
        <f t="shared" si="5"/>
        <v>2839.4607966107451</v>
      </c>
      <c r="H44" s="202">
        <f t="shared" si="7"/>
        <v>2815.0679384336108</v>
      </c>
      <c r="I44" s="202">
        <f t="shared" si="8"/>
        <v>2795.7417035593085</v>
      </c>
      <c r="J44" s="202">
        <f t="shared" si="9"/>
        <v>2809.0123227087315</v>
      </c>
      <c r="K44" s="202">
        <f t="shared" si="10"/>
        <v>2800.5033326531966</v>
      </c>
      <c r="L44" s="65"/>
      <c r="M44" s="2"/>
      <c r="N44" s="12">
        <f t="shared" si="2"/>
        <v>2021.75</v>
      </c>
    </row>
    <row r="45" spans="1:14" x14ac:dyDescent="0.2">
      <c r="A45" s="12" t="str">
        <f t="shared" si="1"/>
        <v>12/31/2021</v>
      </c>
      <c r="C45" s="201">
        <f>'[2]Boeckh (R)'!D101</f>
        <v>2895.8794881250001</v>
      </c>
      <c r="D45" s="202">
        <f t="shared" si="3"/>
        <v>2893.4799126928265</v>
      </c>
      <c r="E45" s="202">
        <f t="shared" si="4"/>
        <v>2870.9782956194008</v>
      </c>
      <c r="F45" s="202">
        <f t="shared" si="6"/>
        <v>2920.920934947615</v>
      </c>
      <c r="G45" s="202">
        <f t="shared" si="5"/>
        <v>2898.5152941372398</v>
      </c>
      <c r="H45" s="202">
        <f t="shared" si="7"/>
        <v>2887.3509829414543</v>
      </c>
      <c r="I45" s="202">
        <f t="shared" si="8"/>
        <v>2866.6165822184439</v>
      </c>
      <c r="J45" s="202">
        <f t="shared" si="9"/>
        <v>2883.1058964550029</v>
      </c>
      <c r="K45" s="202">
        <f t="shared" si="10"/>
        <v>2871.0884638898979</v>
      </c>
      <c r="L45" s="65"/>
      <c r="M45" s="2"/>
      <c r="N45" s="12">
        <f t="shared" si="2"/>
        <v>2022</v>
      </c>
    </row>
    <row r="46" spans="1:14" x14ac:dyDescent="0.2">
      <c r="A46" s="12" t="str">
        <f t="shared" si="1"/>
        <v>3/31/2022</v>
      </c>
      <c r="C46" s="201">
        <f>'[2]Boeckh (R)'!D102</f>
        <v>3017.6739801562503</v>
      </c>
      <c r="D46" s="202">
        <f t="shared" si="3"/>
        <v>2921.1595438227232</v>
      </c>
      <c r="E46" s="202">
        <f t="shared" si="4"/>
        <v>2900.5498668076348</v>
      </c>
      <c r="F46" s="202">
        <f t="shared" si="6"/>
        <v>2979.7403700272553</v>
      </c>
      <c r="G46" s="202">
        <f t="shared" si="5"/>
        <v>2958.797994455711</v>
      </c>
      <c r="H46" s="202">
        <f t="shared" si="7"/>
        <v>2959.6340274491813</v>
      </c>
      <c r="I46" s="202">
        <f t="shared" si="8"/>
        <v>2939.2882107055598</v>
      </c>
      <c r="J46" s="202">
        <f t="shared" si="9"/>
        <v>2957.199470201158</v>
      </c>
      <c r="K46" s="202">
        <f>GROWTH($C$42:$C$53,$N$42:$N$53,$N46,TRUE)</f>
        <v>2943.4526541598002</v>
      </c>
      <c r="L46" s="65"/>
      <c r="M46" s="2"/>
      <c r="N46" s="12">
        <f t="shared" si="2"/>
        <v>2022.25</v>
      </c>
    </row>
    <row r="47" spans="1:14" x14ac:dyDescent="0.2">
      <c r="A47" s="12" t="str">
        <f t="shared" si="1"/>
        <v>6/30/2022</v>
      </c>
      <c r="C47" s="201">
        <f>'[2]Boeckh (R)'!D103</f>
        <v>3154.5641660937499</v>
      </c>
      <c r="D47" s="202">
        <f t="shared" si="3"/>
        <v>2948.8391749525908</v>
      </c>
      <c r="E47" s="202">
        <f t="shared" si="4"/>
        <v>2930.4260302750076</v>
      </c>
      <c r="F47" s="202">
        <f t="shared" si="6"/>
        <v>3038.5598051068955</v>
      </c>
      <c r="G47" s="202">
        <f t="shared" si="5"/>
        <v>3020.3344414647854</v>
      </c>
      <c r="H47" s="202">
        <f t="shared" si="7"/>
        <v>3031.9170719570247</v>
      </c>
      <c r="I47" s="202">
        <f t="shared" si="8"/>
        <v>3013.802138445295</v>
      </c>
      <c r="J47" s="202">
        <f>TREND($C$42:$C$53,$N$42:$N$53,$N47,TRUE)</f>
        <v>3031.293043947313</v>
      </c>
      <c r="K47" s="202">
        <f>GROWTH($C$42:$C$53,$N$42:$N$53,$N47,TRUE)</f>
        <v>3017.6407436580012</v>
      </c>
      <c r="L47" s="65"/>
      <c r="M47" s="2"/>
      <c r="N47" s="12">
        <f t="shared" si="2"/>
        <v>2022.5</v>
      </c>
    </row>
    <row r="48" spans="1:14" x14ac:dyDescent="0.2">
      <c r="A48" s="12" t="str">
        <f t="shared" si="1"/>
        <v>9/30/2022</v>
      </c>
      <c r="B48"/>
      <c r="C48" s="201">
        <f>'[2]Boeckh (R)'!D104</f>
        <v>3219.5446149999998</v>
      </c>
      <c r="D48" s="202">
        <f t="shared" si="3"/>
        <v>2976.5188060824876</v>
      </c>
      <c r="E48" s="202">
        <f t="shared" si="4"/>
        <v>2960.6099233745672</v>
      </c>
      <c r="F48" s="202">
        <f t="shared" si="6"/>
        <v>3097.3792401865358</v>
      </c>
      <c r="G48" s="202">
        <f t="shared" si="5"/>
        <v>3083.1507103196218</v>
      </c>
      <c r="H48" s="202">
        <f t="shared" si="7"/>
        <v>3104.2001164648682</v>
      </c>
      <c r="I48" s="202">
        <f t="shared" si="8"/>
        <v>3090.2050695862554</v>
      </c>
      <c r="J48" s="202">
        <f t="shared" si="9"/>
        <v>3105.386617693468</v>
      </c>
      <c r="K48" s="202">
        <f t="shared" si="10"/>
        <v>3093.6987027514738</v>
      </c>
      <c r="L48" s="65"/>
      <c r="M48" s="2"/>
      <c r="N48" s="12">
        <f t="shared" si="2"/>
        <v>2022.75</v>
      </c>
    </row>
    <row r="49" spans="1:15" x14ac:dyDescent="0.2">
      <c r="A49" s="12" t="str">
        <f t="shared" si="1"/>
        <v>12/31/2022</v>
      </c>
      <c r="C49" s="201">
        <f>'[2]Boeckh (R)'!D105</f>
        <v>3296.5095918749998</v>
      </c>
      <c r="D49" s="202">
        <f t="shared" si="3"/>
        <v>3004.1984372123552</v>
      </c>
      <c r="E49" s="202">
        <f t="shared" si="4"/>
        <v>2991.1047157744702</v>
      </c>
      <c r="F49" s="202">
        <f t="shared" si="6"/>
        <v>3156.198675266176</v>
      </c>
      <c r="G49" s="202">
        <f t="shared" si="5"/>
        <v>3147.273418480871</v>
      </c>
      <c r="H49" s="202">
        <f t="shared" si="7"/>
        <v>3176.4831609727116</v>
      </c>
      <c r="I49" s="202">
        <f t="shared" si="8"/>
        <v>3168.5448922744295</v>
      </c>
      <c r="J49" s="202">
        <f t="shared" si="9"/>
        <v>3179.480191439623</v>
      </c>
      <c r="K49" s="202">
        <f t="shared" si="10"/>
        <v>3171.6736604651082</v>
      </c>
      <c r="L49" s="65"/>
      <c r="M49" s="2"/>
      <c r="N49" s="12">
        <f t="shared" si="2"/>
        <v>2023</v>
      </c>
    </row>
    <row r="50" spans="1:15" x14ac:dyDescent="0.2">
      <c r="A50" s="12" t="str">
        <f t="shared" si="1"/>
        <v>3/31/2023</v>
      </c>
      <c r="C50" s="201">
        <f>'[2]Boeckh (R)'!D106</f>
        <v>3345.1154200000001</v>
      </c>
      <c r="D50" s="202">
        <f>TREND($C$14:$C$53,$N$14:$N$53,$N50,TRUE)</f>
        <v>3031.8780683422519</v>
      </c>
      <c r="E50" s="202">
        <f t="shared" si="4"/>
        <v>3021.9136097911714</v>
      </c>
      <c r="F50" s="202">
        <f t="shared" si="6"/>
        <v>3215.0181103458744</v>
      </c>
      <c r="G50" s="202">
        <f t="shared" si="5"/>
        <v>3212.7297369934308</v>
      </c>
      <c r="H50" s="202">
        <f t="shared" si="7"/>
        <v>3248.7662054804387</v>
      </c>
      <c r="I50" s="202">
        <f t="shared" si="8"/>
        <v>3248.8707086687223</v>
      </c>
      <c r="J50" s="202">
        <f t="shared" si="9"/>
        <v>3253.573765185778</v>
      </c>
      <c r="K50" s="202">
        <f t="shared" si="10"/>
        <v>3251.6139336843371</v>
      </c>
      <c r="L50" s="65"/>
      <c r="M50" s="2"/>
      <c r="N50" s="12">
        <f t="shared" si="2"/>
        <v>2023.25</v>
      </c>
    </row>
    <row r="51" spans="1:15" x14ac:dyDescent="0.2">
      <c r="A51" s="12" t="str">
        <f t="shared" si="1"/>
        <v>6/30/2023</v>
      </c>
      <c r="C51" s="201">
        <f>'[2]Boeckh (R)'!D107</f>
        <v>3333.7936442187497</v>
      </c>
      <c r="D51" s="202">
        <f t="shared" si="3"/>
        <v>3059.5576994721196</v>
      </c>
      <c r="E51" s="202">
        <f t="shared" si="4"/>
        <v>3053.0398407253651</v>
      </c>
      <c r="F51" s="202">
        <f t="shared" si="6"/>
        <v>3273.8375454255147</v>
      </c>
      <c r="G51" s="202">
        <f t="shared" si="5"/>
        <v>3279.5474019997714</v>
      </c>
      <c r="H51" s="202">
        <f t="shared" si="7"/>
        <v>3321.0492499882821</v>
      </c>
      <c r="I51" s="202">
        <f t="shared" si="8"/>
        <v>3331.2328657174089</v>
      </c>
      <c r="J51" s="202">
        <f t="shared" si="9"/>
        <v>3327.6673389320495</v>
      </c>
      <c r="K51" s="202">
        <f t="shared" si="10"/>
        <v>3333.5690570952252</v>
      </c>
      <c r="L51" s="65"/>
      <c r="M51" s="2"/>
      <c r="N51" s="12">
        <f t="shared" si="2"/>
        <v>2023.5</v>
      </c>
    </row>
    <row r="52" spans="1:15" x14ac:dyDescent="0.2">
      <c r="A52" s="12" t="str">
        <f>TEXT(DATE(YEAR(A53+1),MONTH(A53+1)-3,1)-1,"m/d/yyyy")</f>
        <v>9/30/2023</v>
      </c>
      <c r="C52" s="201">
        <f>'[2]Boeckh (R)'!D108</f>
        <v>3308.2746353124999</v>
      </c>
      <c r="D52" s="202">
        <f t="shared" si="3"/>
        <v>3087.2373306020163</v>
      </c>
      <c r="E52" s="202">
        <f t="shared" si="4"/>
        <v>3084.4866772020746</v>
      </c>
      <c r="F52" s="202">
        <f t="shared" si="6"/>
        <v>3332.6569805051549</v>
      </c>
      <c r="G52" s="202">
        <f t="shared" si="5"/>
        <v>3347.7547264927134</v>
      </c>
      <c r="H52" s="202">
        <f t="shared" si="7"/>
        <v>3393.3322944961255</v>
      </c>
      <c r="I52" s="202">
        <f t="shared" si="8"/>
        <v>3415.6829867148031</v>
      </c>
      <c r="J52" s="202">
        <f t="shared" si="9"/>
        <v>3401.7609126782045</v>
      </c>
      <c r="K52" s="202">
        <f t="shared" si="10"/>
        <v>3417.5898138778098</v>
      </c>
      <c r="L52" s="65"/>
      <c r="M52" s="2"/>
      <c r="N52" s="12">
        <f t="shared" si="2"/>
        <v>2023.75</v>
      </c>
    </row>
    <row r="53" spans="1:15" x14ac:dyDescent="0.2">
      <c r="A53" s="12" t="str">
        <f>TEXT(N9,"m/d/yyyy")</f>
        <v>12/31/2023</v>
      </c>
      <c r="C53" s="201">
        <f>'[2]Boeckh (R)'!D109</f>
        <v>3285.9603150000003</v>
      </c>
      <c r="D53" s="202">
        <f t="shared" si="3"/>
        <v>3114.9169617318839</v>
      </c>
      <c r="E53" s="202">
        <f t="shared" si="4"/>
        <v>3116.2574215135478</v>
      </c>
      <c r="F53" s="202">
        <f>TREND($C$34:$C$53,$N$34:$N$53,$N53,TRUE)</f>
        <v>3391.4764155847952</v>
      </c>
      <c r="G53" s="202">
        <f>GROWTH($C$34:$C$53,$N$34:$N$53,$N53,TRUE)</f>
        <v>3417.3806123126383</v>
      </c>
      <c r="H53" s="202">
        <f t="shared" si="7"/>
        <v>3465.615339003969</v>
      </c>
      <c r="I53" s="202">
        <f t="shared" si="8"/>
        <v>3502.2740036579207</v>
      </c>
      <c r="J53" s="202">
        <f>TREND($C$42:$C$53,$N$42:$N$53,$N53,TRUE)</f>
        <v>3475.8544864243595</v>
      </c>
      <c r="K53" s="202">
        <f>GROWTH($C$42:$C$53,$N$42:$N$53,$N53,TRUE)</f>
        <v>3503.7282671739736</v>
      </c>
      <c r="L53" s="65"/>
      <c r="M53" s="2"/>
      <c r="N53" s="12">
        <f t="shared" si="2"/>
        <v>2024</v>
      </c>
    </row>
    <row r="54" spans="1:15" x14ac:dyDescent="0.2">
      <c r="A54" s="66"/>
      <c r="B54" s="9"/>
      <c r="C54" s="95"/>
      <c r="D54" s="67"/>
      <c r="E54" s="67"/>
      <c r="F54" s="67"/>
      <c r="G54" s="67"/>
      <c r="H54" s="67"/>
      <c r="I54" s="67"/>
      <c r="J54" s="67"/>
      <c r="K54" s="67"/>
      <c r="L54"/>
      <c r="M54" s="2"/>
    </row>
    <row r="55" spans="1:15" x14ac:dyDescent="0.2">
      <c r="A55"/>
      <c r="C55"/>
      <c r="D55"/>
      <c r="E55"/>
      <c r="F55"/>
      <c r="H55"/>
      <c r="J55"/>
      <c r="K55"/>
      <c r="L55"/>
      <c r="M55" s="2"/>
    </row>
    <row r="56" spans="1:15" x14ac:dyDescent="0.2">
      <c r="A56" s="12" t="s">
        <v>238</v>
      </c>
      <c r="C56"/>
      <c r="D56" s="20">
        <f>(D53-D49)/D53</f>
        <v>3.5544615114866361E-2</v>
      </c>
      <c r="E56" s="20">
        <f>LOGEST($C$14:$C$53,$N$14:$N$53,TRUE,TRUE)-1</f>
        <v>4.1841632985647692E-2</v>
      </c>
      <c r="F56" s="20">
        <f>(F53-F49)/F53</f>
        <v>6.9373249726122604E-2</v>
      </c>
      <c r="G56" s="20">
        <f>LOGEST($C$34:$C$53,$N$34:$N$53,TRUE,TRUE)-1</f>
        <v>8.5822601953063238E-2</v>
      </c>
      <c r="H56" s="20">
        <f>(H53-H49)/H53</f>
        <v>8.3428814149453481E-2</v>
      </c>
      <c r="I56" s="20">
        <f>LOGEST($C$38:$C$53,$N$38:$N$53,TRUE,TRUE)-1</f>
        <v>0.10532566926767073</v>
      </c>
      <c r="J56" s="20">
        <f>(J53-J49)/J53</f>
        <v>8.526660023953396E-2</v>
      </c>
      <c r="K56" s="20">
        <f>LOGEST($C$42:$C$53,$N$42:$N$53,TRUE,TRUE)-1</f>
        <v>0.1046938122442862</v>
      </c>
      <c r="L56" s="20"/>
      <c r="M56" s="2"/>
    </row>
    <row r="57" spans="1:15" x14ac:dyDescent="0.2">
      <c r="A57" t="s">
        <v>239</v>
      </c>
      <c r="B57"/>
      <c r="C57" s="53"/>
      <c r="D57" s="28">
        <f>INDEX(LINEST($C$14:$C$53,$N$14:$N$53,TRUE,TRUE),3,1)</f>
        <v>0.77285583875123798</v>
      </c>
      <c r="E57" s="28">
        <f>INDEX(LOGEST($C$14:$C$53,$N$14:$N$53,TRUE,TRUE),3,1)</f>
        <v>0.80363280192980369</v>
      </c>
      <c r="F57" s="28">
        <f>INDEX(LINEST($C$34:$C$53,$N$34:$N$53,TRUE,TRUE),3,1)</f>
        <v>0.89330568150297218</v>
      </c>
      <c r="G57" s="28">
        <f>INDEX(LOGEST($C$34:$C$53,$N$34:$N$53,TRUE,TRUE),3,1)</f>
        <v>0.89837716999790196</v>
      </c>
      <c r="H57" s="28">
        <f>INDEX(LINEST($C$38:$C$53,$N$38:$N$53,TRUE,TRUE),3,1)</f>
        <v>0.9272281583011357</v>
      </c>
      <c r="I57" s="28">
        <f>INDEX(LOGEST($C$38:$C$53,$N$38:$N$53,TRUE,TRUE),3,1)</f>
        <v>0.92638327516578445</v>
      </c>
      <c r="J57" s="28">
        <f>INDEX(LINEST($C$42:$C$53,$N$42:$N$53,TRUE,TRUE),3,1)</f>
        <v>0.86504205962182612</v>
      </c>
      <c r="K57" s="28">
        <f>INDEX(LOGEST($C$42:$C$53,$N$42:$N$53,TRUE,TRUE),3,1)</f>
        <v>0.85487577732860209</v>
      </c>
      <c r="L57" s="28"/>
      <c r="M57" s="2"/>
      <c r="O57" s="124"/>
    </row>
    <row r="58" spans="1:15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5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5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2" thickBot="1" x14ac:dyDescent="0.25">
      <c r="B62" s="12" t="str">
        <f>D12&amp;" - "&amp;K12&amp;" = "&amp;C12&amp;" Fitted to linear and exponential distributions"</f>
        <v>(3) - (10) = (2) Fitted to linear and exponential distributions</v>
      </c>
      <c r="K62"/>
      <c r="L62"/>
      <c r="M62" s="2"/>
    </row>
    <row r="63" spans="1:15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00FF00"/>
  </sheetPr>
  <dimension ref="A1:R69"/>
  <sheetViews>
    <sheetView showGridLines="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64</v>
      </c>
      <c r="M1" s="1"/>
      <c r="Q1" s="96" t="s">
        <v>369</v>
      </c>
      <c r="R1" s="12" t="s">
        <v>370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57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215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240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217</v>
      </c>
    </row>
    <row r="9" spans="1:18" x14ac:dyDescent="0.2">
      <c r="A9" t="s">
        <v>189</v>
      </c>
      <c r="B9"/>
      <c r="C9" s="194" t="s">
        <v>230</v>
      </c>
      <c r="D9" s="235" t="s">
        <v>231</v>
      </c>
      <c r="E9" s="235"/>
      <c r="F9" s="235"/>
      <c r="G9" s="235"/>
      <c r="H9" s="235"/>
      <c r="I9" s="235"/>
      <c r="J9" s="235"/>
      <c r="K9" s="235"/>
      <c r="L9"/>
      <c r="M9" s="2"/>
      <c r="N9" s="37">
        <f>'3.3b'!$N$9</f>
        <v>45291</v>
      </c>
    </row>
    <row r="10" spans="1:18" x14ac:dyDescent="0.2">
      <c r="A10" t="s">
        <v>213</v>
      </c>
      <c r="B10"/>
      <c r="C10" s="11" t="s">
        <v>219</v>
      </c>
      <c r="D10" s="11" t="s">
        <v>232</v>
      </c>
      <c r="E10" s="11"/>
      <c r="F10" s="11" t="s">
        <v>233</v>
      </c>
      <c r="G10" s="11"/>
      <c r="H10" s="11" t="s">
        <v>234</v>
      </c>
      <c r="I10" s="11"/>
      <c r="J10" s="11" t="s">
        <v>235</v>
      </c>
      <c r="K10" s="11"/>
      <c r="L10"/>
      <c r="M10" s="2"/>
    </row>
    <row r="11" spans="1:18" x14ac:dyDescent="0.2">
      <c r="A11" s="9" t="s">
        <v>33</v>
      </c>
      <c r="B11" s="9"/>
      <c r="C11" s="125" t="s">
        <v>214</v>
      </c>
      <c r="D11" s="125" t="s">
        <v>236</v>
      </c>
      <c r="E11" s="125" t="s">
        <v>237</v>
      </c>
      <c r="F11" s="125" t="s">
        <v>236</v>
      </c>
      <c r="G11" s="125" t="s">
        <v>237</v>
      </c>
      <c r="H11" s="125" t="s">
        <v>236</v>
      </c>
      <c r="I11" s="125" t="s">
        <v>237</v>
      </c>
      <c r="J11" s="125" t="s">
        <v>236</v>
      </c>
      <c r="K11" s="125" t="s">
        <v>237</v>
      </c>
      <c r="L11"/>
      <c r="M11" s="2"/>
      <c r="N11" s="9" t="s">
        <v>214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1">TEXT(DATE(YEAR(A15+1),MONTH(A15+1)-3,1)-1,"m/d/yyyy")</f>
        <v>3/31/2014</v>
      </c>
      <c r="B14" s="23"/>
      <c r="C14" s="201">
        <f>'[2]Boeckh (R)'!E70</f>
        <v>2228.1152725000002</v>
      </c>
      <c r="D14" s="202">
        <f>TREND($C$14:$C$53,$N$14:$N$53,$N14,TRUE)</f>
        <v>2036.9066743292788</v>
      </c>
      <c r="E14" s="202">
        <f>GROWTH($C$14:$C$53,$N$14:$N$53,$N14,TRUE)</f>
        <v>2095.8788640198691</v>
      </c>
      <c r="F14" s="202"/>
      <c r="G14" s="202"/>
      <c r="H14" s="141"/>
      <c r="I14" s="141"/>
      <c r="J14" s="141"/>
      <c r="K14" s="141"/>
      <c r="L14"/>
      <c r="M14" s="2"/>
      <c r="N14" s="12">
        <f t="shared" ref="N14:N53" si="2">YEAR(A14)+MONTH(A14)/12</f>
        <v>2014.25</v>
      </c>
    </row>
    <row r="15" spans="1:18" x14ac:dyDescent="0.2">
      <c r="A15" s="12" t="str">
        <f t="shared" si="1"/>
        <v>6/30/2014</v>
      </c>
      <c r="B15" s="23"/>
      <c r="C15" s="201">
        <f>'[2]Boeckh (R)'!E71</f>
        <v>2253.0438375000003</v>
      </c>
      <c r="D15" s="202">
        <f>TREND($C$14:$C$53,$N$14:$N$53,$N15,TRUE)</f>
        <v>2065.9954773508362</v>
      </c>
      <c r="E15" s="202">
        <f>GROWTH($C$14:$C$53,$N$14:$N$53,$N15,TRUE)</f>
        <v>2118.276435549531</v>
      </c>
      <c r="F15" s="202"/>
      <c r="G15" s="202"/>
      <c r="H15" s="141"/>
      <c r="I15" s="141"/>
      <c r="J15" s="141"/>
      <c r="K15" s="141"/>
      <c r="L15"/>
      <c r="M15" s="2"/>
      <c r="N15" s="12">
        <f t="shared" si="2"/>
        <v>2014.5</v>
      </c>
    </row>
    <row r="16" spans="1:18" x14ac:dyDescent="0.2">
      <c r="A16" s="12" t="str">
        <f t="shared" si="1"/>
        <v>9/30/2014</v>
      </c>
      <c r="B16" s="23"/>
      <c r="C16" s="201">
        <f>'[2]Boeckh (R)'!E72</f>
        <v>2275.4013050000003</v>
      </c>
      <c r="D16" s="202">
        <f>TREND($C$14:$C$53,$N$14:$N$53,$N16,TRUE)</f>
        <v>2095.0842803724227</v>
      </c>
      <c r="E16" s="202">
        <f>GROWTH($C$14:$C$53,$N$14:$N$53,$N16,TRUE)</f>
        <v>2140.9133583217545</v>
      </c>
      <c r="F16" s="202"/>
      <c r="G16" s="202"/>
      <c r="H16" s="141"/>
      <c r="I16" s="141"/>
      <c r="J16" s="141"/>
      <c r="K16" s="141"/>
      <c r="L16"/>
      <c r="M16" s="2"/>
      <c r="N16" s="12">
        <f t="shared" si="2"/>
        <v>2014.75</v>
      </c>
    </row>
    <row r="17" spans="1:14" x14ac:dyDescent="0.2">
      <c r="A17" s="12" t="str">
        <f t="shared" si="1"/>
        <v>12/31/2014</v>
      </c>
      <c r="B17" s="23"/>
      <c r="C17" s="201">
        <f>'[2]Boeckh (R)'!E73</f>
        <v>2297.1664168750003</v>
      </c>
      <c r="D17" s="202">
        <f>TREND($C$14:$C$53,$N$14:$N$53,$N17,TRUE)</f>
        <v>2124.1730833940092</v>
      </c>
      <c r="E17" s="202">
        <f>GROWTH($C$14:$C$53,$N$14:$N$53,$N17,TRUE)</f>
        <v>2163.7921901593209</v>
      </c>
      <c r="F17" s="202"/>
      <c r="G17" s="202"/>
      <c r="H17" s="141"/>
      <c r="I17" s="141"/>
      <c r="J17" s="141"/>
      <c r="K17" s="141"/>
      <c r="L17"/>
      <c r="M17" s="2"/>
      <c r="N17" s="12">
        <f t="shared" si="2"/>
        <v>2015</v>
      </c>
    </row>
    <row r="18" spans="1:14" x14ac:dyDescent="0.2">
      <c r="A18" s="12" t="str">
        <f t="shared" si="1"/>
        <v>3/31/2015</v>
      </c>
      <c r="B18" s="23"/>
      <c r="C18" s="201">
        <f>'[2]Boeckh (R)'!E74</f>
        <v>2310.9768087499997</v>
      </c>
      <c r="D18" s="202">
        <f>TREND($C$14:$C$53,$N$14:$N$53,$N18,TRUE)</f>
        <v>2153.2618864155666</v>
      </c>
      <c r="E18" s="202">
        <f t="shared" ref="E18:E53" si="3">GROWTH($C$14:$C$53,$N$14:$N$53,$N18,TRUE)</f>
        <v>2186.9155162190455</v>
      </c>
      <c r="F18" s="202"/>
      <c r="G18" s="202"/>
      <c r="H18" s="141"/>
      <c r="I18" s="141"/>
      <c r="J18" s="141"/>
      <c r="K18" s="141"/>
      <c r="L18"/>
      <c r="M18" s="2"/>
      <c r="N18" s="12">
        <f t="shared" si="2"/>
        <v>2015.25</v>
      </c>
    </row>
    <row r="19" spans="1:14" x14ac:dyDescent="0.2">
      <c r="A19" s="12" t="str">
        <f t="shared" si="1"/>
        <v>6/30/2015</v>
      </c>
      <c r="B19" s="23"/>
      <c r="C19" s="201">
        <f>'[2]Boeckh (R)'!E75</f>
        <v>2322.926671875</v>
      </c>
      <c r="D19" s="202">
        <f t="shared" ref="D19:D53" si="4">TREND($C$14:$C$53,$N$14:$N$53,$N19,TRUE)</f>
        <v>2182.3506894371531</v>
      </c>
      <c r="E19" s="202">
        <f t="shared" si="3"/>
        <v>2210.2859492839752</v>
      </c>
      <c r="F19" s="202"/>
      <c r="G19" s="202"/>
      <c r="H19" s="141"/>
      <c r="I19" s="141"/>
      <c r="J19" s="141"/>
      <c r="K19" s="141"/>
      <c r="L19"/>
      <c r="M19" s="2"/>
      <c r="N19" s="12">
        <f t="shared" si="2"/>
        <v>2015.5</v>
      </c>
    </row>
    <row r="20" spans="1:14" x14ac:dyDescent="0.2">
      <c r="A20" s="12" t="str">
        <f t="shared" si="1"/>
        <v>9/30/2015</v>
      </c>
      <c r="B20" s="23"/>
      <c r="C20" s="201">
        <f>'[2]Boeckh (R)'!E76</f>
        <v>2330.7859524999999</v>
      </c>
      <c r="D20" s="202">
        <f t="shared" si="4"/>
        <v>2211.4394924587396</v>
      </c>
      <c r="E20" s="202">
        <f t="shared" si="3"/>
        <v>2233.9061300587096</v>
      </c>
      <c r="F20" s="202"/>
      <c r="G20" s="202"/>
      <c r="H20" s="141"/>
      <c r="I20" s="141"/>
      <c r="J20" s="141"/>
      <c r="K20" s="141"/>
      <c r="L20"/>
      <c r="M20" s="2"/>
      <c r="N20" s="12">
        <f t="shared" si="2"/>
        <v>2015.75</v>
      </c>
    </row>
    <row r="21" spans="1:14" x14ac:dyDescent="0.2">
      <c r="A21" s="12" t="str">
        <f t="shared" si="1"/>
        <v>12/31/2015</v>
      </c>
      <c r="B21" s="23"/>
      <c r="C21" s="201">
        <f>'[2]Boeckh (R)'!E77</f>
        <v>2333.6695606250005</v>
      </c>
      <c r="D21" s="202">
        <f t="shared" si="4"/>
        <v>2240.5282954802969</v>
      </c>
      <c r="E21" s="202">
        <f t="shared" si="3"/>
        <v>2257.7787274675957</v>
      </c>
      <c r="F21" s="202"/>
      <c r="G21" s="202"/>
      <c r="H21" s="141"/>
      <c r="I21" s="141"/>
      <c r="J21" s="141"/>
      <c r="K21" s="141"/>
      <c r="L21"/>
      <c r="M21" s="2"/>
      <c r="N21" s="12">
        <f t="shared" si="2"/>
        <v>2016</v>
      </c>
    </row>
    <row r="22" spans="1:14" x14ac:dyDescent="0.2">
      <c r="A22" s="12" t="str">
        <f t="shared" si="1"/>
        <v>3/31/2016</v>
      </c>
      <c r="B22" s="23"/>
      <c r="C22" s="201">
        <f>'[2]Boeckh (R)'!E78</f>
        <v>2329.0952162499998</v>
      </c>
      <c r="D22" s="202">
        <f t="shared" si="4"/>
        <v>2269.6170985018834</v>
      </c>
      <c r="E22" s="202">
        <f t="shared" si="3"/>
        <v>2281.9064389563914</v>
      </c>
      <c r="F22" s="202"/>
      <c r="G22" s="202"/>
      <c r="H22" s="141"/>
      <c r="I22" s="141"/>
      <c r="J22" s="141"/>
      <c r="K22" s="141"/>
      <c r="L22"/>
      <c r="M22" s="2"/>
      <c r="N22" s="12">
        <f t="shared" si="2"/>
        <v>2016.25</v>
      </c>
    </row>
    <row r="23" spans="1:14" x14ac:dyDescent="0.2">
      <c r="A23" s="12" t="str">
        <f t="shared" si="1"/>
        <v>6/30/2016</v>
      </c>
      <c r="B23" s="23"/>
      <c r="C23" s="201">
        <f>'[2]Boeckh (R)'!E79</f>
        <v>2321.2872825000004</v>
      </c>
      <c r="D23" s="202">
        <f t="shared" si="4"/>
        <v>2298.7059015234699</v>
      </c>
      <c r="E23" s="202">
        <f t="shared" si="3"/>
        <v>2306.2919907971573</v>
      </c>
      <c r="F23" s="202"/>
      <c r="G23" s="202"/>
      <c r="H23" s="141"/>
      <c r="I23" s="141"/>
      <c r="J23" s="141"/>
      <c r="K23" s="141"/>
      <c r="L23"/>
      <c r="M23" s="2"/>
      <c r="N23" s="12">
        <f t="shared" si="2"/>
        <v>2016.5</v>
      </c>
    </row>
    <row r="24" spans="1:14" x14ac:dyDescent="0.2">
      <c r="A24" s="12" t="str">
        <f t="shared" si="1"/>
        <v>9/30/2016</v>
      </c>
      <c r="B24"/>
      <c r="C24" s="201">
        <f>'[2]Boeckh (R)'!E80</f>
        <v>2314.1371275000001</v>
      </c>
      <c r="D24" s="202">
        <f t="shared" si="4"/>
        <v>2327.7947045450273</v>
      </c>
      <c r="E24" s="202">
        <f t="shared" si="3"/>
        <v>2330.9381383961127</v>
      </c>
      <c r="F24" s="202"/>
      <c r="G24" s="202"/>
      <c r="H24" s="141"/>
      <c r="I24" s="141"/>
      <c r="J24" s="141"/>
      <c r="K24" s="141"/>
      <c r="L24"/>
      <c r="M24" s="2"/>
      <c r="N24" s="12">
        <f t="shared" si="2"/>
        <v>2016.75</v>
      </c>
    </row>
    <row r="25" spans="1:14" x14ac:dyDescent="0.2">
      <c r="A25" s="12" t="str">
        <f t="shared" si="1"/>
        <v>12/31/2016</v>
      </c>
      <c r="B25"/>
      <c r="C25" s="201">
        <f>'[2]Boeckh (R)'!E81</f>
        <v>2308.7876624999999</v>
      </c>
      <c r="D25" s="202">
        <f t="shared" si="4"/>
        <v>2356.8835075666138</v>
      </c>
      <c r="E25" s="202">
        <f t="shared" si="3"/>
        <v>2355.847666605076</v>
      </c>
      <c r="F25" s="202"/>
      <c r="G25" s="202"/>
      <c r="H25" s="141"/>
      <c r="I25" s="141"/>
      <c r="J25" s="141"/>
      <c r="K25" s="141"/>
      <c r="L25"/>
      <c r="M25" s="2"/>
      <c r="N25" s="12">
        <f t="shared" si="2"/>
        <v>2017</v>
      </c>
    </row>
    <row r="26" spans="1:14" x14ac:dyDescent="0.2">
      <c r="A26" s="12" t="str">
        <f t="shared" si="1"/>
        <v>3/31/2017</v>
      </c>
      <c r="B26"/>
      <c r="C26" s="201">
        <f>'[2]Boeckh (R)'!E82</f>
        <v>2311.913693125</v>
      </c>
      <c r="D26" s="202">
        <f t="shared" si="4"/>
        <v>2385.9723105881712</v>
      </c>
      <c r="E26" s="202">
        <f t="shared" si="3"/>
        <v>2381.0233900362341</v>
      </c>
      <c r="F26" s="202"/>
      <c r="G26" s="202"/>
      <c r="H26" s="141"/>
      <c r="I26" s="141"/>
      <c r="J26" s="141"/>
      <c r="K26" s="141"/>
      <c r="L26"/>
      <c r="M26" s="2"/>
      <c r="N26" s="12">
        <f t="shared" si="2"/>
        <v>2017.25</v>
      </c>
    </row>
    <row r="27" spans="1:14" x14ac:dyDescent="0.2">
      <c r="A27" s="12" t="str">
        <f t="shared" si="1"/>
        <v>6/30/2017</v>
      </c>
      <c r="B27"/>
      <c r="C27" s="201">
        <f>'[2]Boeckh (R)'!E83</f>
        <v>2324.5285118749998</v>
      </c>
      <c r="D27" s="202">
        <f t="shared" si="4"/>
        <v>2415.0611136097577</v>
      </c>
      <c r="E27" s="202">
        <f t="shared" si="3"/>
        <v>2406.4681533799753</v>
      </c>
      <c r="F27" s="202"/>
      <c r="G27" s="202"/>
      <c r="H27" s="141"/>
      <c r="I27" s="141"/>
      <c r="J27" s="141"/>
      <c r="K27" s="141"/>
      <c r="L27"/>
      <c r="M27" s="2"/>
      <c r="N27" s="12">
        <f t="shared" si="2"/>
        <v>2017.5</v>
      </c>
    </row>
    <row r="28" spans="1:14" x14ac:dyDescent="0.2">
      <c r="A28" s="12" t="str">
        <f t="shared" si="1"/>
        <v>9/30/2017</v>
      </c>
      <c r="B28"/>
      <c r="C28" s="201">
        <f>'[2]Boeckh (R)'!E84</f>
        <v>2341.577415625</v>
      </c>
      <c r="D28" s="202">
        <f t="shared" si="4"/>
        <v>2444.1499166313442</v>
      </c>
      <c r="E28" s="202">
        <f t="shared" si="3"/>
        <v>2432.1848317264189</v>
      </c>
      <c r="F28" s="202"/>
      <c r="G28" s="202"/>
      <c r="H28" s="141"/>
      <c r="I28" s="141"/>
      <c r="J28" s="141"/>
      <c r="K28" s="141"/>
      <c r="L28"/>
      <c r="M28" s="2"/>
      <c r="N28" s="12">
        <f t="shared" si="2"/>
        <v>2017.75</v>
      </c>
    </row>
    <row r="29" spans="1:14" x14ac:dyDescent="0.2">
      <c r="A29" s="12" t="str">
        <f t="shared" si="1"/>
        <v>12/31/2017</v>
      </c>
      <c r="B29"/>
      <c r="C29" s="201">
        <f>'[2]Boeckh (R)'!E85</f>
        <v>2360.9052300000003</v>
      </c>
      <c r="D29" s="202">
        <f>TREND($C$14:$C$53,$N$14:$N$53,$N29,TRUE)</f>
        <v>2473.2387196529016</v>
      </c>
      <c r="E29" s="202">
        <f t="shared" si="3"/>
        <v>2458.1763308903869</v>
      </c>
      <c r="F29" s="202"/>
      <c r="G29" s="202"/>
      <c r="H29" s="141"/>
      <c r="I29" s="141"/>
      <c r="J29" s="141"/>
      <c r="K29" s="141"/>
      <c r="L29"/>
      <c r="M29" s="2"/>
      <c r="N29" s="12">
        <f t="shared" si="2"/>
        <v>2018</v>
      </c>
    </row>
    <row r="30" spans="1:14" x14ac:dyDescent="0.2">
      <c r="A30" s="12" t="str">
        <f t="shared" si="1"/>
        <v>3/31/2018</v>
      </c>
      <c r="B30"/>
      <c r="C30" s="201">
        <f>'[2]Boeckh (R)'!E86</f>
        <v>2381.213536875</v>
      </c>
      <c r="D30" s="202">
        <f t="shared" si="4"/>
        <v>2502.3275226744881</v>
      </c>
      <c r="E30" s="202">
        <f t="shared" si="3"/>
        <v>2484.4455877395353</v>
      </c>
      <c r="F30" s="202"/>
      <c r="G30" s="202"/>
      <c r="H30" s="141"/>
      <c r="I30" s="141"/>
      <c r="J30" s="141"/>
      <c r="K30" s="141"/>
      <c r="L30"/>
      <c r="M30" s="2"/>
      <c r="N30" s="12">
        <f t="shared" si="2"/>
        <v>2018.25</v>
      </c>
    </row>
    <row r="31" spans="1:14" x14ac:dyDescent="0.2">
      <c r="A31" s="12" t="str">
        <f t="shared" si="1"/>
        <v>6/30/2018</v>
      </c>
      <c r="B31"/>
      <c r="C31" s="201">
        <f>'[2]Boeckh (R)'!E87</f>
        <v>2405.087585625</v>
      </c>
      <c r="D31" s="202">
        <f t="shared" si="4"/>
        <v>2531.4163256960746</v>
      </c>
      <c r="E31" s="202">
        <f t="shared" si="3"/>
        <v>2510.995570526301</v>
      </c>
      <c r="F31" s="202"/>
      <c r="G31" s="202"/>
      <c r="H31" s="141"/>
      <c r="I31" s="141"/>
      <c r="J31" s="141"/>
      <c r="K31" s="141"/>
      <c r="L31" s="29"/>
      <c r="M31" s="2"/>
      <c r="N31" s="12">
        <f t="shared" si="2"/>
        <v>2018.5</v>
      </c>
    </row>
    <row r="32" spans="1:14" x14ac:dyDescent="0.2">
      <c r="A32" s="12" t="str">
        <f t="shared" si="1"/>
        <v>9/30/2018</v>
      </c>
      <c r="B32"/>
      <c r="C32" s="201">
        <f>'[2]Boeckh (R)'!E88</f>
        <v>2434.294940625</v>
      </c>
      <c r="D32" s="202">
        <f t="shared" si="4"/>
        <v>2560.505128717632</v>
      </c>
      <c r="E32" s="202">
        <f t="shared" si="3"/>
        <v>2537.8292792234051</v>
      </c>
      <c r="F32" s="202"/>
      <c r="G32" s="202"/>
      <c r="H32" s="141"/>
      <c r="I32" s="141"/>
      <c r="J32" s="141"/>
      <c r="K32" s="141"/>
      <c r="L32" s="29"/>
      <c r="M32" s="2"/>
      <c r="N32" s="12">
        <f t="shared" si="2"/>
        <v>2018.75</v>
      </c>
    </row>
    <row r="33" spans="1:14" x14ac:dyDescent="0.2">
      <c r="A33" s="12" t="str">
        <f t="shared" si="1"/>
        <v>12/31/2018</v>
      </c>
      <c r="B33" s="23"/>
      <c r="C33" s="201">
        <f>'[2]Boeckh (R)'!E89</f>
        <v>2468.5916043749999</v>
      </c>
      <c r="D33" s="202">
        <f t="shared" si="4"/>
        <v>2589.5939317392185</v>
      </c>
      <c r="E33" s="202">
        <f t="shared" si="3"/>
        <v>2564.9497458626151</v>
      </c>
      <c r="F33" s="202"/>
      <c r="G33" s="202"/>
      <c r="H33" s="141"/>
      <c r="I33" s="141"/>
      <c r="J33" s="141"/>
      <c r="K33" s="141"/>
      <c r="L33" s="29"/>
      <c r="M33" s="2"/>
      <c r="N33" s="12">
        <f t="shared" si="2"/>
        <v>2019</v>
      </c>
    </row>
    <row r="34" spans="1:14" x14ac:dyDescent="0.2">
      <c r="A34" s="12" t="str">
        <f t="shared" si="1"/>
        <v>3/31/2019</v>
      </c>
      <c r="B34" s="23"/>
      <c r="C34" s="201">
        <f>'[2]Boeckh (R)'!E90</f>
        <v>2495.17299125</v>
      </c>
      <c r="D34" s="202">
        <f t="shared" si="4"/>
        <v>2618.682734760805</v>
      </c>
      <c r="E34" s="202">
        <f t="shared" si="3"/>
        <v>2592.3600348774503</v>
      </c>
      <c r="F34" s="202">
        <f>TREND($C$34:$C$53,$N$34:$N$53,$N34,TRUE)</f>
        <v>2291.8045420714188</v>
      </c>
      <c r="G34" s="202">
        <f t="shared" ref="G34:G53" si="5">GROWTH($C$34:$C$53,$N$34:$N$53,$N34,TRUE)</f>
        <v>2332.323331792441</v>
      </c>
      <c r="H34" s="141"/>
      <c r="I34" s="141"/>
      <c r="J34" s="141"/>
      <c r="K34" s="141"/>
      <c r="L34" s="29"/>
      <c r="M34" s="2"/>
      <c r="N34" s="12">
        <f t="shared" si="2"/>
        <v>2019.25</v>
      </c>
    </row>
    <row r="35" spans="1:14" x14ac:dyDescent="0.2">
      <c r="A35" s="12" t="str">
        <f t="shared" si="1"/>
        <v>6/30/2019</v>
      </c>
      <c r="B35"/>
      <c r="C35" s="201">
        <f>'[2]Boeckh (R)'!E91</f>
        <v>2509.1292012499998</v>
      </c>
      <c r="D35" s="202">
        <f t="shared" si="4"/>
        <v>2647.7715377823624</v>
      </c>
      <c r="E35" s="202">
        <f t="shared" si="3"/>
        <v>2620.0632434495528</v>
      </c>
      <c r="F35" s="202">
        <f t="shared" ref="F35:F53" si="6">TREND($C$34:$C$53,$N$34:$N$53,$N35,TRUE)</f>
        <v>2353.2568413139088</v>
      </c>
      <c r="G35" s="202">
        <f t="shared" si="5"/>
        <v>2382.1724382223638</v>
      </c>
      <c r="H35" s="141"/>
      <c r="I35" s="141"/>
      <c r="J35" s="141"/>
      <c r="K35" s="141"/>
      <c r="L35" s="29"/>
      <c r="M35" s="2"/>
      <c r="N35" s="12">
        <f t="shared" si="2"/>
        <v>2019.5</v>
      </c>
    </row>
    <row r="36" spans="1:14" x14ac:dyDescent="0.2">
      <c r="A36" s="12" t="str">
        <f t="shared" si="1"/>
        <v>9/30/2019</v>
      </c>
      <c r="C36" s="201">
        <f>'[2]Boeckh (R)'!E92</f>
        <v>2511.4064250000001</v>
      </c>
      <c r="D36" s="202">
        <f t="shared" si="4"/>
        <v>2676.8603408039489</v>
      </c>
      <c r="E36" s="202">
        <f t="shared" si="3"/>
        <v>2648.062501858431</v>
      </c>
      <c r="F36" s="202">
        <f t="shared" si="6"/>
        <v>2414.7091405563988</v>
      </c>
      <c r="G36" s="202">
        <f t="shared" si="5"/>
        <v>2433.0869772953456</v>
      </c>
      <c r="H36" s="141"/>
      <c r="I36" s="141"/>
      <c r="J36" s="141"/>
      <c r="K36" s="141"/>
      <c r="L36"/>
      <c r="M36" s="2"/>
      <c r="N36" s="12">
        <f t="shared" si="2"/>
        <v>2019.75</v>
      </c>
    </row>
    <row r="37" spans="1:14" x14ac:dyDescent="0.2">
      <c r="A37" s="12" t="str">
        <f t="shared" si="1"/>
        <v>12/31/2019</v>
      </c>
      <c r="C37" s="201">
        <f>'[2]Boeckh (R)'!E93</f>
        <v>2505.0344875000001</v>
      </c>
      <c r="D37" s="202">
        <f t="shared" si="4"/>
        <v>2705.9491438255063</v>
      </c>
      <c r="E37" s="202">
        <f t="shared" si="3"/>
        <v>2676.3609738352675</v>
      </c>
      <c r="F37" s="202">
        <f t="shared" si="6"/>
        <v>2476.1614397988888</v>
      </c>
      <c r="G37" s="202">
        <f t="shared" si="5"/>
        <v>2485.0897206676564</v>
      </c>
      <c r="H37" s="141"/>
      <c r="I37" s="202"/>
      <c r="J37" s="141"/>
      <c r="K37" s="202"/>
      <c r="M37" s="2"/>
      <c r="N37" s="12">
        <f t="shared" si="2"/>
        <v>2020</v>
      </c>
    </row>
    <row r="38" spans="1:14" x14ac:dyDescent="0.2">
      <c r="A38" s="12" t="str">
        <f t="shared" si="1"/>
        <v>3/31/2020</v>
      </c>
      <c r="C38" s="201">
        <f>'[2]Boeckh (R)'!E94</f>
        <v>2503.4177643749999</v>
      </c>
      <c r="D38" s="202">
        <f t="shared" si="4"/>
        <v>2735.0379468470928</v>
      </c>
      <c r="E38" s="202">
        <f t="shared" si="3"/>
        <v>2704.9618569205131</v>
      </c>
      <c r="F38" s="202">
        <f t="shared" si="6"/>
        <v>2537.6137390413787</v>
      </c>
      <c r="G38" s="202">
        <f t="shared" si="5"/>
        <v>2538.2039266976858</v>
      </c>
      <c r="H38" s="202">
        <f>TREND($C$38:$C$53,$N$38:$N$53,$N38,TRUE)</f>
        <v>2393.9429974356899</v>
      </c>
      <c r="I38" s="202">
        <f t="shared" ref="I38:I53" si="7">GROWTH($C$38:$C$53,$N$38:$N$53,$N38,TRUE)</f>
        <v>2421.113829188746</v>
      </c>
      <c r="J38" s="141"/>
      <c r="K38" s="141"/>
      <c r="L38" s="29"/>
      <c r="M38" s="2"/>
      <c r="N38" s="12">
        <f t="shared" si="2"/>
        <v>2020.25</v>
      </c>
    </row>
    <row r="39" spans="1:14" x14ac:dyDescent="0.2">
      <c r="A39" s="12" t="str">
        <f t="shared" si="1"/>
        <v>6/30/2020</v>
      </c>
      <c r="C39" s="201">
        <f>'[2]Boeckh (R)'!E95</f>
        <v>2503.8586843749999</v>
      </c>
      <c r="D39" s="202">
        <f t="shared" si="4"/>
        <v>2764.1267498686793</v>
      </c>
      <c r="E39" s="202">
        <f t="shared" si="3"/>
        <v>2733.8683828249655</v>
      </c>
      <c r="F39" s="202">
        <f t="shared" si="6"/>
        <v>2599.0660382838687</v>
      </c>
      <c r="G39" s="202">
        <f t="shared" si="5"/>
        <v>2592.4533508483814</v>
      </c>
      <c r="H39" s="202">
        <f t="shared" ref="H39:H53" si="8">TREND($C$38:$C$53,$N$38:$N$53,$N39,TRUE)</f>
        <v>2470.511302715051</v>
      </c>
      <c r="I39" s="202">
        <f t="shared" si="7"/>
        <v>2485.1849488247863</v>
      </c>
      <c r="J39" s="141"/>
      <c r="K39" s="141"/>
      <c r="L39" s="29"/>
      <c r="M39" s="2"/>
      <c r="N39" s="12">
        <f t="shared" si="2"/>
        <v>2020.5</v>
      </c>
    </row>
    <row r="40" spans="1:14" x14ac:dyDescent="0.2">
      <c r="A40" s="12" t="str">
        <f t="shared" si="1"/>
        <v>9/30/2020</v>
      </c>
      <c r="C40" s="201">
        <f>'[2]Boeckh (R)'!E96</f>
        <v>2510.0869675000004</v>
      </c>
      <c r="D40" s="202">
        <f>TREND($C$14:$C$53,$N$14:$N$53,$N40,TRUE)</f>
        <v>2793.2155528902367</v>
      </c>
      <c r="E40" s="202">
        <f t="shared" si="3"/>
        <v>2763.0838177950377</v>
      </c>
      <c r="F40" s="202">
        <f t="shared" si="6"/>
        <v>2660.5183375263005</v>
      </c>
      <c r="G40" s="202">
        <f t="shared" si="5"/>
        <v>2647.8622563116446</v>
      </c>
      <c r="H40" s="202">
        <f t="shared" si="8"/>
        <v>2547.0796079945285</v>
      </c>
      <c r="I40" s="202">
        <f t="shared" si="7"/>
        <v>2550.9516138424297</v>
      </c>
      <c r="J40" s="141"/>
      <c r="K40" s="141"/>
      <c r="L40" s="29"/>
      <c r="M40" s="2"/>
      <c r="N40" s="12">
        <f t="shared" si="2"/>
        <v>2020.75</v>
      </c>
    </row>
    <row r="41" spans="1:14" x14ac:dyDescent="0.2">
      <c r="A41" s="12" t="str">
        <f t="shared" si="1"/>
        <v>12/31/2020</v>
      </c>
      <c r="C41" s="201">
        <f>'[2]Boeckh (R)'!E97</f>
        <v>2532.6611631250003</v>
      </c>
      <c r="D41" s="202">
        <f t="shared" si="4"/>
        <v>2822.3043559118232</v>
      </c>
      <c r="E41" s="202">
        <f t="shared" si="3"/>
        <v>2792.6114629819435</v>
      </c>
      <c r="F41" s="202">
        <f t="shared" si="6"/>
        <v>2721.9706367687904</v>
      </c>
      <c r="G41" s="202">
        <f t="shared" si="5"/>
        <v>2704.4554248605414</v>
      </c>
      <c r="H41" s="202">
        <f t="shared" si="8"/>
        <v>2623.6479132738896</v>
      </c>
      <c r="I41" s="202">
        <f t="shared" si="7"/>
        <v>2618.4586942885462</v>
      </c>
      <c r="J41" s="141"/>
      <c r="K41" s="141"/>
      <c r="L41" s="19"/>
      <c r="M41" s="2"/>
      <c r="N41" s="12">
        <f t="shared" si="2"/>
        <v>2021</v>
      </c>
    </row>
    <row r="42" spans="1:14" x14ac:dyDescent="0.2">
      <c r="A42" s="12" t="str">
        <f t="shared" si="1"/>
        <v>3/31/2021</v>
      </c>
      <c r="C42" s="201">
        <f>'[2]Boeckh (R)'!E98</f>
        <v>2564.7752381249998</v>
      </c>
      <c r="D42" s="202">
        <f t="shared" si="4"/>
        <v>2851.3931589334097</v>
      </c>
      <c r="E42" s="202">
        <f t="shared" si="3"/>
        <v>2822.4546548144745</v>
      </c>
      <c r="F42" s="202">
        <f t="shared" si="6"/>
        <v>2783.4229360112804</v>
      </c>
      <c r="G42" s="202">
        <f t="shared" si="5"/>
        <v>2762.2581679327236</v>
      </c>
      <c r="H42" s="202">
        <f t="shared" si="8"/>
        <v>2700.2162185532507</v>
      </c>
      <c r="I42" s="202">
        <f t="shared" si="7"/>
        <v>2687.7522476280815</v>
      </c>
      <c r="J42" s="202">
        <f>TREND($C$42:$C$53,$N$42:$N$53,$N42,TRUE)</f>
        <v>2681.4945393509697</v>
      </c>
      <c r="K42" s="202">
        <f t="shared" ref="K42:K53" si="9">GROWTH($C$42:$C$53,$N$42:$N$53,$N42,TRUE)</f>
        <v>2685.1673154082559</v>
      </c>
      <c r="L42" s="65"/>
      <c r="M42" s="2"/>
      <c r="N42" s="12">
        <f t="shared" si="2"/>
        <v>2021.25</v>
      </c>
    </row>
    <row r="43" spans="1:14" x14ac:dyDescent="0.2">
      <c r="A43" s="12" t="str">
        <f t="shared" si="1"/>
        <v>6/30/2021</v>
      </c>
      <c r="B43"/>
      <c r="C43" s="201">
        <f>'[2]Boeckh (R)'!E99</f>
        <v>2647.0168100000001</v>
      </c>
      <c r="D43" s="202">
        <f>TREND($C$14:$C$53,$N$14:$N$53,$N43,TRUE)</f>
        <v>2880.4819619549671</v>
      </c>
      <c r="E43" s="202">
        <f t="shared" si="3"/>
        <v>2852.6167653761036</v>
      </c>
      <c r="F43" s="202">
        <f t="shared" si="6"/>
        <v>2844.8752352537704</v>
      </c>
      <c r="G43" s="202">
        <f t="shared" si="5"/>
        <v>2821.2963379511057</v>
      </c>
      <c r="H43" s="202">
        <f t="shared" si="8"/>
        <v>2776.7845238327282</v>
      </c>
      <c r="I43" s="202">
        <f t="shared" si="7"/>
        <v>2758.8795501669788</v>
      </c>
      <c r="J43" s="202">
        <f t="shared" ref="J43:J52" si="10">TREND($C$42:$C$53,$N$42:$N$53,$N43,TRUE)</f>
        <v>2761.2418960314244</v>
      </c>
      <c r="K43" s="202">
        <f t="shared" si="9"/>
        <v>2757.0655554845803</v>
      </c>
      <c r="L43" s="65"/>
      <c r="M43" s="2"/>
      <c r="N43" s="12">
        <f t="shared" si="2"/>
        <v>2021.5</v>
      </c>
    </row>
    <row r="44" spans="1:14" x14ac:dyDescent="0.2">
      <c r="A44" s="12" t="str">
        <f t="shared" si="1"/>
        <v>9/30/2021</v>
      </c>
      <c r="C44" s="201">
        <f>'[2]Boeckh (R)'!E100</f>
        <v>2798.64249875</v>
      </c>
      <c r="D44" s="202">
        <f t="shared" si="4"/>
        <v>2909.5707649765536</v>
      </c>
      <c r="E44" s="202">
        <f t="shared" si="3"/>
        <v>2883.1012027861361</v>
      </c>
      <c r="F44" s="202">
        <f t="shared" si="6"/>
        <v>2906.3275344962603</v>
      </c>
      <c r="G44" s="202">
        <f t="shared" si="5"/>
        <v>2881.5963398864255</v>
      </c>
      <c r="H44" s="202">
        <f t="shared" si="8"/>
        <v>2853.3528291120892</v>
      </c>
      <c r="I44" s="202">
        <f t="shared" si="7"/>
        <v>2831.8891293074207</v>
      </c>
      <c r="J44" s="202">
        <f t="shared" si="10"/>
        <v>2840.9892527119955</v>
      </c>
      <c r="K44" s="202">
        <f t="shared" si="9"/>
        <v>2830.8889481934452</v>
      </c>
      <c r="L44" s="65"/>
      <c r="M44" s="2"/>
      <c r="N44" s="12">
        <f t="shared" si="2"/>
        <v>2021.75</v>
      </c>
    </row>
    <row r="45" spans="1:14" x14ac:dyDescent="0.2">
      <c r="A45" s="12" t="str">
        <f t="shared" si="1"/>
        <v>12/31/2021</v>
      </c>
      <c r="C45" s="201">
        <f>'[2]Boeckh (R)'!E101</f>
        <v>2934.2977249999999</v>
      </c>
      <c r="D45" s="202">
        <f t="shared" si="4"/>
        <v>2938.6595679981401</v>
      </c>
      <c r="E45" s="202">
        <f t="shared" si="3"/>
        <v>2913.9114115845605</v>
      </c>
      <c r="F45" s="202">
        <f t="shared" si="6"/>
        <v>2967.7798337387503</v>
      </c>
      <c r="G45" s="202">
        <f t="shared" si="5"/>
        <v>2943.1851430669344</v>
      </c>
      <c r="H45" s="202">
        <f t="shared" si="8"/>
        <v>2929.9211343915667</v>
      </c>
      <c r="I45" s="202">
        <f t="shared" si="7"/>
        <v>2906.8307966558973</v>
      </c>
      <c r="J45" s="202">
        <f t="shared" si="10"/>
        <v>2920.7366093924502</v>
      </c>
      <c r="K45" s="202">
        <f t="shared" si="9"/>
        <v>2906.6890415650778</v>
      </c>
      <c r="L45" s="65"/>
      <c r="M45" s="2"/>
      <c r="N45" s="12">
        <f t="shared" si="2"/>
        <v>2022</v>
      </c>
    </row>
    <row r="46" spans="1:14" x14ac:dyDescent="0.2">
      <c r="A46" s="12" t="str">
        <f t="shared" si="1"/>
        <v>3/31/2022</v>
      </c>
      <c r="C46" s="201">
        <f>'[2]Boeckh (R)'!E102</f>
        <v>3069.4388468750003</v>
      </c>
      <c r="D46" s="202">
        <f t="shared" si="4"/>
        <v>2967.7483710196975</v>
      </c>
      <c r="E46" s="202">
        <f t="shared" si="3"/>
        <v>2945.0508731213777</v>
      </c>
      <c r="F46" s="202">
        <f t="shared" si="6"/>
        <v>3029.2321329812403</v>
      </c>
      <c r="G46" s="202">
        <f t="shared" si="5"/>
        <v>3006.0902932404983</v>
      </c>
      <c r="H46" s="202">
        <f t="shared" si="8"/>
        <v>3006.4894396709278</v>
      </c>
      <c r="I46" s="202">
        <f t="shared" si="7"/>
        <v>2983.7556820078066</v>
      </c>
      <c r="J46" s="202">
        <f t="shared" si="10"/>
        <v>3000.4839660730213</v>
      </c>
      <c r="K46" s="202">
        <f t="shared" si="9"/>
        <v>2984.5187638838493</v>
      </c>
      <c r="L46" s="65"/>
      <c r="M46" s="2"/>
      <c r="N46" s="12">
        <f t="shared" si="2"/>
        <v>2022.25</v>
      </c>
    </row>
    <row r="47" spans="1:14" x14ac:dyDescent="0.2">
      <c r="A47" s="12" t="str">
        <f t="shared" si="1"/>
        <v>6/30/2022</v>
      </c>
      <c r="C47" s="201">
        <f>'[2]Boeckh (R)'!E103</f>
        <v>3213.8373443750002</v>
      </c>
      <c r="D47" s="202">
        <f t="shared" si="4"/>
        <v>2996.837174041284</v>
      </c>
      <c r="E47" s="202">
        <f t="shared" si="3"/>
        <v>2976.5231059500984</v>
      </c>
      <c r="F47" s="202">
        <f t="shared" si="6"/>
        <v>3090.684432223672</v>
      </c>
      <c r="G47" s="202">
        <f t="shared" si="5"/>
        <v>3070.339924894502</v>
      </c>
      <c r="H47" s="202">
        <f t="shared" si="8"/>
        <v>3083.0577449504053</v>
      </c>
      <c r="I47" s="202">
        <f t="shared" si="7"/>
        <v>3062.7162682313365</v>
      </c>
      <c r="J47" s="202">
        <f t="shared" si="10"/>
        <v>3080.231322753476</v>
      </c>
      <c r="K47" s="202">
        <f t="shared" si="9"/>
        <v>3064.432460645568</v>
      </c>
      <c r="L47" s="65"/>
      <c r="M47" s="2"/>
      <c r="N47" s="12">
        <f t="shared" si="2"/>
        <v>2022.5</v>
      </c>
    </row>
    <row r="48" spans="1:14" x14ac:dyDescent="0.2">
      <c r="A48" s="12" t="str">
        <f t="shared" si="1"/>
        <v>9/30/2022</v>
      </c>
      <c r="B48"/>
      <c r="C48" s="201">
        <f>'[2]Boeckh (R)'!E104</f>
        <v>3295.1001925</v>
      </c>
      <c r="D48" s="202">
        <f t="shared" si="4"/>
        <v>3025.9259770628414</v>
      </c>
      <c r="E48" s="202">
        <f t="shared" si="3"/>
        <v>3008.3316662250668</v>
      </c>
      <c r="F48" s="202">
        <f t="shared" si="6"/>
        <v>3152.136731466162</v>
      </c>
      <c r="G48" s="202">
        <f t="shared" si="5"/>
        <v>3135.9627738391587</v>
      </c>
      <c r="H48" s="202">
        <f t="shared" si="8"/>
        <v>3159.6260502297664</v>
      </c>
      <c r="I48" s="202">
        <f t="shared" si="7"/>
        <v>3143.7664270745772</v>
      </c>
      <c r="J48" s="202">
        <f t="shared" si="10"/>
        <v>3159.9786794340471</v>
      </c>
      <c r="K48" s="202">
        <f t="shared" si="9"/>
        <v>3146.4859325050802</v>
      </c>
      <c r="L48" s="65"/>
      <c r="M48" s="2"/>
      <c r="N48" s="12">
        <f t="shared" si="2"/>
        <v>2022.75</v>
      </c>
    </row>
    <row r="49" spans="1:14" x14ac:dyDescent="0.2">
      <c r="A49" s="12" t="str">
        <f t="shared" si="1"/>
        <v>12/31/2022</v>
      </c>
      <c r="C49" s="201">
        <f>'[2]Boeckh (R)'!E105</f>
        <v>3370.7473650000002</v>
      </c>
      <c r="D49" s="202">
        <f t="shared" si="4"/>
        <v>3055.0147800844279</v>
      </c>
      <c r="E49" s="202">
        <f t="shared" si="3"/>
        <v>3040.4801481034042</v>
      </c>
      <c r="F49" s="202">
        <f t="shared" si="6"/>
        <v>3213.589030708652</v>
      </c>
      <c r="G49" s="202">
        <f t="shared" si="5"/>
        <v>3202.9881900593209</v>
      </c>
      <c r="H49" s="202">
        <f t="shared" si="8"/>
        <v>3236.1943555091275</v>
      </c>
      <c r="I49" s="202">
        <f t="shared" si="7"/>
        <v>3226.9614559197739</v>
      </c>
      <c r="J49" s="202">
        <f t="shared" si="10"/>
        <v>3239.7260361145018</v>
      </c>
      <c r="K49" s="202">
        <f t="shared" si="9"/>
        <v>3230.7364742399927</v>
      </c>
      <c r="L49" s="65"/>
      <c r="M49" s="2"/>
      <c r="N49" s="12">
        <f t="shared" si="2"/>
        <v>2023</v>
      </c>
    </row>
    <row r="50" spans="1:14" x14ac:dyDescent="0.2">
      <c r="A50" s="12" t="str">
        <f t="shared" si="1"/>
        <v>3/31/2023</v>
      </c>
      <c r="C50" s="201">
        <f>'[2]Boeckh (R)'!E106</f>
        <v>3421.7495743750001</v>
      </c>
      <c r="D50" s="202">
        <f t="shared" si="4"/>
        <v>3084.1035831060144</v>
      </c>
      <c r="E50" s="202">
        <f t="shared" si="3"/>
        <v>3072.9721841512551</v>
      </c>
      <c r="F50" s="202">
        <f t="shared" si="6"/>
        <v>3275.041329951142</v>
      </c>
      <c r="G50" s="202">
        <f t="shared" si="5"/>
        <v>3271.4461508418622</v>
      </c>
      <c r="H50" s="202">
        <f t="shared" si="8"/>
        <v>3312.762660788605</v>
      </c>
      <c r="I50" s="202">
        <f t="shared" si="7"/>
        <v>3312.3581155111183</v>
      </c>
      <c r="J50" s="202">
        <f t="shared" si="10"/>
        <v>3319.4733927950729</v>
      </c>
      <c r="K50" s="202">
        <f t="shared" si="9"/>
        <v>3317.2429147568755</v>
      </c>
      <c r="L50" s="65"/>
      <c r="M50" s="2"/>
      <c r="N50" s="12">
        <f t="shared" si="2"/>
        <v>2023.25</v>
      </c>
    </row>
    <row r="51" spans="1:14" x14ac:dyDescent="0.2">
      <c r="A51" s="12" t="str">
        <f t="shared" si="1"/>
        <v>6/30/2023</v>
      </c>
      <c r="C51" s="201">
        <f>'[2]Boeckh (R)'!E107</f>
        <v>3405.4807850000002</v>
      </c>
      <c r="D51" s="202">
        <f t="shared" si="4"/>
        <v>3113.1923861275718</v>
      </c>
      <c r="E51" s="202">
        <f t="shared" si="3"/>
        <v>3105.8114457539887</v>
      </c>
      <c r="F51" s="202">
        <f t="shared" si="6"/>
        <v>3336.4936291936319</v>
      </c>
      <c r="G51" s="202">
        <f t="shared" si="5"/>
        <v>3341.367274182744</v>
      </c>
      <c r="H51" s="202">
        <f t="shared" si="8"/>
        <v>3389.3309660679661</v>
      </c>
      <c r="I51" s="202">
        <f t="shared" si="7"/>
        <v>3400.0146686800517</v>
      </c>
      <c r="J51" s="202">
        <f t="shared" si="10"/>
        <v>3399.2207494755276</v>
      </c>
      <c r="K51" s="202">
        <f t="shared" si="9"/>
        <v>3406.0656581695748</v>
      </c>
      <c r="L51" s="65"/>
      <c r="M51" s="2"/>
      <c r="N51" s="12">
        <f t="shared" si="2"/>
        <v>2023.5</v>
      </c>
    </row>
    <row r="52" spans="1:14" x14ac:dyDescent="0.2">
      <c r="A52" s="12" t="str">
        <f t="shared" si="1"/>
        <v>9/30/2023</v>
      </c>
      <c r="C52" s="201">
        <f>'[2]Boeckh (R)'!E108</f>
        <v>3374.4013487499997</v>
      </c>
      <c r="D52" s="202">
        <f t="shared" si="4"/>
        <v>3142.2811891491583</v>
      </c>
      <c r="E52" s="202">
        <f t="shared" si="3"/>
        <v>3139.001643531165</v>
      </c>
      <c r="F52" s="202">
        <f t="shared" si="6"/>
        <v>3397.9459284361219</v>
      </c>
      <c r="G52" s="202">
        <f t="shared" si="5"/>
        <v>3412.7828324810812</v>
      </c>
      <c r="H52" s="202">
        <f t="shared" si="8"/>
        <v>3465.8992713474436</v>
      </c>
      <c r="I52" s="202">
        <f t="shared" si="7"/>
        <v>3489.990920095825</v>
      </c>
      <c r="J52" s="202">
        <f t="shared" si="10"/>
        <v>3478.9681061559822</v>
      </c>
      <c r="K52" s="202">
        <f t="shared" si="9"/>
        <v>3497.2667259768887</v>
      </c>
      <c r="L52" s="65"/>
      <c r="M52" s="2"/>
      <c r="N52" s="12">
        <f t="shared" si="2"/>
        <v>2023.75</v>
      </c>
    </row>
    <row r="53" spans="1:14" x14ac:dyDescent="0.2">
      <c r="A53" s="12" t="str">
        <f>TEXT(N9,"m/d/yyyy")</f>
        <v>12/31/2023</v>
      </c>
      <c r="C53" s="201">
        <f>'[2]Boeckh (R)'!E109</f>
        <v>3345.7722843749998</v>
      </c>
      <c r="D53" s="202">
        <f t="shared" si="4"/>
        <v>3171.3699921707448</v>
      </c>
      <c r="E53" s="202">
        <f t="shared" si="3"/>
        <v>3172.5465277559479</v>
      </c>
      <c r="F53" s="202">
        <f t="shared" si="6"/>
        <v>3459.3982276785537</v>
      </c>
      <c r="G53" s="202">
        <f t="shared" si="5"/>
        <v>3485.7247665258001</v>
      </c>
      <c r="H53" s="202">
        <f t="shared" si="8"/>
        <v>3542.4675766268047</v>
      </c>
      <c r="I53" s="202">
        <f t="shared" si="7"/>
        <v>3582.3482570679075</v>
      </c>
      <c r="J53" s="202">
        <f>TREND($C$42:$C$53,$N$42:$N$53,$N53,TRUE)</f>
        <v>3558.7154628365533</v>
      </c>
      <c r="K53" s="202">
        <f t="shared" si="9"/>
        <v>3590.9098003701861</v>
      </c>
      <c r="L53" s="65"/>
      <c r="M53" s="2"/>
      <c r="N53" s="12">
        <f t="shared" si="2"/>
        <v>2024</v>
      </c>
    </row>
    <row r="54" spans="1:14" x14ac:dyDescent="0.2">
      <c r="A54" s="66"/>
      <c r="B54" s="9"/>
      <c r="C54" s="95"/>
      <c r="D54" s="67"/>
      <c r="E54" s="67"/>
      <c r="F54" s="67"/>
      <c r="G54" s="67"/>
      <c r="H54" s="67"/>
      <c r="I54" s="67"/>
      <c r="J54" s="67"/>
      <c r="K54" s="67"/>
      <c r="M54" s="2"/>
    </row>
    <row r="55" spans="1:14" x14ac:dyDescent="0.2">
      <c r="A55"/>
      <c r="C55"/>
      <c r="D55"/>
      <c r="E55"/>
      <c r="F55"/>
      <c r="G55"/>
      <c r="H55"/>
      <c r="J55"/>
      <c r="K55"/>
      <c r="L55"/>
      <c r="M55" s="2"/>
    </row>
    <row r="56" spans="1:14" x14ac:dyDescent="0.2">
      <c r="A56" s="12" t="s">
        <v>238</v>
      </c>
      <c r="C56"/>
      <c r="D56" s="20">
        <f>(D53-D49)/D53</f>
        <v>3.6689258072557435E-2</v>
      </c>
      <c r="E56" s="20">
        <f>LOGEST($C$14:$C$53,$N$14:$N$53,TRUE,TRUE)-1</f>
        <v>4.3436027607320238E-2</v>
      </c>
      <c r="F56" s="20">
        <f>(F53-F49)/F53</f>
        <v>7.1055478667702607E-2</v>
      </c>
      <c r="G56" s="20">
        <f>LOGEST($C$34:$C$53,$N$34:$N$53,TRUE,TRUE)-1</f>
        <v>8.8272750222437413E-2</v>
      </c>
      <c r="H56" s="20">
        <f>(H53-H49)/H53</f>
        <v>8.6457593328014462E-2</v>
      </c>
      <c r="I56" s="20">
        <f>LOGEST($C$38:$C$53,$N$38:$N$53,TRUE,TRUE)-1</f>
        <v>0.11013047599197345</v>
      </c>
      <c r="J56" s="20">
        <f>(J53-J49)/J53</f>
        <v>8.9636114506270181E-2</v>
      </c>
      <c r="K56" s="20">
        <f>LOGEST($C$42:$C$53,$N$42:$N$53,TRUE,TRUE)-1</f>
        <v>0.11148335031408219</v>
      </c>
      <c r="L56" s="20"/>
      <c r="M56" s="2"/>
    </row>
    <row r="57" spans="1:14" x14ac:dyDescent="0.2">
      <c r="A57" t="s">
        <v>239</v>
      </c>
      <c r="B57"/>
      <c r="C57" s="53"/>
      <c r="D57" s="28">
        <f>INDEX(LINEST($C$14:$C$53,$N$14:$N$53,TRUE,TRUE),3,1)</f>
        <v>0.76883115163310789</v>
      </c>
      <c r="E57" s="28">
        <f>INDEX(LOGEST($C$14:$C$53,$N$14:$N$53,TRUE,TRUE),3,1)</f>
        <v>0.80115105490083782</v>
      </c>
      <c r="F57" s="28">
        <f>INDEX(LINEST($C$34:$C$53,$N$34:$N$53,TRUE,TRUE),3,1)</f>
        <v>0.87894323606357661</v>
      </c>
      <c r="G57" s="28">
        <f>INDEX(LOGEST($C$34:$C$53,$N$34:$N$53,TRUE,TRUE),3,1)</f>
        <v>0.88387243372441093</v>
      </c>
      <c r="H57" s="28">
        <f>INDEX(LINEST($C$38:$C$53,$N$38:$N$53,TRUE,TRUE),3,1)</f>
        <v>0.91816443129717207</v>
      </c>
      <c r="I57" s="28">
        <f>INDEX(LOGEST($C$38:$C$53,$N$38:$N$53,TRUE,TRUE),3,1)</f>
        <v>0.91781082589262186</v>
      </c>
      <c r="J57" s="28">
        <f>INDEX(LINEST($C$42:$C$53,$N$42:$N$53,TRUE,TRUE),3,1)</f>
        <v>0.85562286343037786</v>
      </c>
      <c r="K57" s="28">
        <f>INDEX(LOGEST($C$42:$C$53,$N$42:$N$53,TRUE,TRUE),3,1)</f>
        <v>0.84576616581795117</v>
      </c>
      <c r="L57" s="28"/>
      <c r="M57" s="2"/>
    </row>
    <row r="58" spans="1:14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"&amp;K12&amp;" = "&amp;C12&amp;" Fitted to linear and exponential distributions"</f>
        <v>(3) - (10) = (2) Fitted to linear and exponential distributions</v>
      </c>
      <c r="I62"/>
      <c r="M62" s="2"/>
    </row>
    <row r="63" spans="1:14" x14ac:dyDescent="0.2">
      <c r="I63"/>
      <c r="M63" s="2"/>
    </row>
    <row r="64" spans="1:14" x14ac:dyDescent="0.2">
      <c r="I64"/>
      <c r="M64" s="2"/>
    </row>
    <row r="65" spans="1:13" x14ac:dyDescent="0.2">
      <c r="I65"/>
      <c r="M65" s="2"/>
    </row>
    <row r="66" spans="1:13" x14ac:dyDescent="0.2">
      <c r="I66"/>
      <c r="M66" s="2"/>
    </row>
    <row r="67" spans="1:13" x14ac:dyDescent="0.2">
      <c r="I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rgb="FF00FF00"/>
  </sheetPr>
  <dimension ref="A1:R70"/>
  <sheetViews>
    <sheetView showGridLines="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64</v>
      </c>
      <c r="M1" s="1"/>
      <c r="Q1" s="96" t="s">
        <v>369</v>
      </c>
      <c r="R1" s="12" t="s">
        <v>368</v>
      </c>
    </row>
    <row r="2" spans="1:18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58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63" t="s">
        <v>215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63" t="s">
        <v>241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217</v>
      </c>
    </row>
    <row r="9" spans="1:18" x14ac:dyDescent="0.2">
      <c r="A9" t="s">
        <v>189</v>
      </c>
      <c r="B9"/>
      <c r="C9" s="194"/>
      <c r="D9" s="235" t="s">
        <v>231</v>
      </c>
      <c r="E9" s="235"/>
      <c r="F9" s="239"/>
      <c r="G9" s="235"/>
      <c r="H9" s="235"/>
      <c r="I9" s="235"/>
      <c r="J9" s="235"/>
      <c r="K9" s="235"/>
      <c r="L9"/>
      <c r="M9" s="2"/>
      <c r="N9" s="59">
        <v>45291</v>
      </c>
    </row>
    <row r="10" spans="1:18" x14ac:dyDescent="0.2">
      <c r="A10" t="s">
        <v>213</v>
      </c>
      <c r="B10"/>
      <c r="C10" s="11" t="s">
        <v>220</v>
      </c>
      <c r="D10" s="11" t="s">
        <v>232</v>
      </c>
      <c r="E10" s="11"/>
      <c r="F10" s="244" t="s">
        <v>233</v>
      </c>
      <c r="G10" s="244"/>
      <c r="H10" s="244" t="s">
        <v>234</v>
      </c>
      <c r="I10" s="244"/>
      <c r="J10" s="244" t="s">
        <v>235</v>
      </c>
      <c r="K10" s="244"/>
      <c r="L10"/>
      <c r="M10" s="2"/>
    </row>
    <row r="11" spans="1:18" x14ac:dyDescent="0.2">
      <c r="A11" s="9" t="s">
        <v>33</v>
      </c>
      <c r="B11" s="9"/>
      <c r="C11" s="125" t="s">
        <v>223</v>
      </c>
      <c r="D11" s="125" t="s">
        <v>236</v>
      </c>
      <c r="E11" s="125" t="s">
        <v>237</v>
      </c>
      <c r="F11" s="125" t="s">
        <v>236</v>
      </c>
      <c r="G11" s="125" t="s">
        <v>237</v>
      </c>
      <c r="H11" s="125" t="s">
        <v>236</v>
      </c>
      <c r="I11" s="125" t="s">
        <v>237</v>
      </c>
      <c r="J11" s="125" t="s">
        <v>236</v>
      </c>
      <c r="K11" s="125" t="s">
        <v>237</v>
      </c>
      <c r="L11"/>
      <c r="M11" s="2"/>
      <c r="N11" s="9" t="s">
        <v>214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3" si="1">TEXT(DATE(YEAR(A15+1),MONTH(A15+1)-3,1)-1,"m/d/yyyy")</f>
        <v>9/30/2013</v>
      </c>
      <c r="B14" s="23"/>
      <c r="C14" s="155">
        <f>[2]CPI!H108</f>
        <v>185.82</v>
      </c>
      <c r="D14" s="65">
        <f>TREND($C$14:$C$55,$N$14:$N$55,$N14,TRUE)</f>
        <v>181.09301218161636</v>
      </c>
      <c r="E14" s="65">
        <f>GROWTH($C$14:$C$55,$N$14:$N$55,$N14,TRUE)</f>
        <v>181.97485155509048</v>
      </c>
      <c r="F14" s="65"/>
      <c r="G14" s="65"/>
      <c r="H14" s="29"/>
      <c r="I14"/>
      <c r="J14" s="29"/>
      <c r="K14"/>
      <c r="L14"/>
      <c r="M14" s="2"/>
      <c r="N14" s="12">
        <f t="shared" ref="N14:N55" si="2">YEAR(A14)+MONTH(A14)/12</f>
        <v>2013.75</v>
      </c>
    </row>
    <row r="15" spans="1:18" x14ac:dyDescent="0.2">
      <c r="A15" s="12" t="str">
        <f t="shared" si="1"/>
        <v>12/31/2013</v>
      </c>
      <c r="C15" s="155">
        <f>[2]CPI!H109</f>
        <v>186.03</v>
      </c>
      <c r="D15" s="65">
        <f t="shared" ref="D15:D54" si="3">TREND($C$14:$C$55,$N$14:$N$55,$N15,TRUE)</f>
        <v>181.98514166869154</v>
      </c>
      <c r="E15" s="65">
        <f t="shared" ref="E15:E55" si="4">GROWTH($C$14:$C$55,$N$14:$N$55,$N15,TRUE)</f>
        <v>182.77101764658593</v>
      </c>
      <c r="K15"/>
      <c r="L15"/>
      <c r="M15" s="2"/>
      <c r="N15" s="12">
        <f t="shared" si="2"/>
        <v>2014</v>
      </c>
    </row>
    <row r="16" spans="1:18" x14ac:dyDescent="0.2">
      <c r="A16" s="12" t="str">
        <f t="shared" si="1"/>
        <v>3/31/2014</v>
      </c>
      <c r="B16" s="23"/>
      <c r="C16" s="155">
        <f>[2]CPI!H110</f>
        <v>186.43</v>
      </c>
      <c r="D16" s="65">
        <f t="shared" si="3"/>
        <v>182.87727115576763</v>
      </c>
      <c r="E16" s="65">
        <f t="shared" si="4"/>
        <v>183.57066707899133</v>
      </c>
      <c r="F16" s="65"/>
      <c r="G16" s="65"/>
      <c r="H16" s="29"/>
      <c r="I16"/>
      <c r="J16" s="29"/>
      <c r="K16"/>
      <c r="L16"/>
      <c r="M16" s="2"/>
      <c r="N16" s="12">
        <f t="shared" si="2"/>
        <v>2014.25</v>
      </c>
    </row>
    <row r="17" spans="1:14" x14ac:dyDescent="0.2">
      <c r="A17" s="12" t="str">
        <f t="shared" si="1"/>
        <v>6/30/2014</v>
      </c>
      <c r="B17" s="23"/>
      <c r="C17" s="155">
        <f>[2]CPI!H111</f>
        <v>186.87</v>
      </c>
      <c r="D17" s="65">
        <f t="shared" si="3"/>
        <v>183.76940064284281</v>
      </c>
      <c r="E17" s="65">
        <f t="shared" si="4"/>
        <v>184.37381509242573</v>
      </c>
      <c r="F17" s="65"/>
      <c r="G17" s="65"/>
      <c r="H17" s="29"/>
      <c r="I17"/>
      <c r="J17" s="29"/>
      <c r="K17"/>
      <c r="L17"/>
      <c r="M17" s="2"/>
      <c r="N17" s="12">
        <f t="shared" si="2"/>
        <v>2014.5</v>
      </c>
    </row>
    <row r="18" spans="1:14" x14ac:dyDescent="0.2">
      <c r="A18" s="12" t="str">
        <f t="shared" si="1"/>
        <v>9/30/2014</v>
      </c>
      <c r="B18" s="23"/>
      <c r="C18" s="155">
        <f>[2]CPI!H112</f>
        <v>187.59</v>
      </c>
      <c r="D18" s="65">
        <f t="shared" si="3"/>
        <v>184.66153012991799</v>
      </c>
      <c r="E18" s="65">
        <f t="shared" si="4"/>
        <v>185.18047699368057</v>
      </c>
      <c r="F18" s="65"/>
      <c r="G18" s="65"/>
      <c r="H18" s="29"/>
      <c r="I18"/>
      <c r="J18" s="29"/>
      <c r="K18"/>
      <c r="L18"/>
      <c r="M18" s="2"/>
      <c r="N18" s="12">
        <f t="shared" si="2"/>
        <v>2014.75</v>
      </c>
    </row>
    <row r="19" spans="1:14" x14ac:dyDescent="0.2">
      <c r="A19" s="12" t="str">
        <f t="shared" si="1"/>
        <v>12/31/2014</v>
      </c>
      <c r="B19" s="23"/>
      <c r="C19" s="155">
        <f>[2]CPI!H113</f>
        <v>188.62</v>
      </c>
      <c r="D19" s="65">
        <f t="shared" si="3"/>
        <v>185.55365961699408</v>
      </c>
      <c r="E19" s="65">
        <f t="shared" si="4"/>
        <v>185.99066815652202</v>
      </c>
      <c r="F19" s="65"/>
      <c r="G19" s="65"/>
      <c r="H19" s="29"/>
      <c r="I19"/>
      <c r="J19" s="29"/>
      <c r="K19"/>
      <c r="L19"/>
      <c r="M19" s="2"/>
      <c r="N19" s="12">
        <f t="shared" si="2"/>
        <v>2015</v>
      </c>
    </row>
    <row r="20" spans="1:14" x14ac:dyDescent="0.2">
      <c r="A20" s="12" t="str">
        <f t="shared" si="1"/>
        <v>3/31/2015</v>
      </c>
      <c r="B20" s="23"/>
      <c r="C20" s="155">
        <f>[2]CPI!H114</f>
        <v>189.46</v>
      </c>
      <c r="D20" s="65">
        <f>TREND($C$14:$C$55,$N$14:$N$55,$N20,TRUE)</f>
        <v>186.44578910406926</v>
      </c>
      <c r="E20" s="65">
        <f t="shared" si="4"/>
        <v>186.80440402197337</v>
      </c>
      <c r="F20" s="65"/>
      <c r="G20" s="65"/>
      <c r="H20" s="29"/>
      <c r="I20"/>
      <c r="J20" s="29"/>
      <c r="K20"/>
      <c r="L20"/>
      <c r="M20" s="2"/>
      <c r="N20" s="12">
        <f t="shared" si="2"/>
        <v>2015.25</v>
      </c>
    </row>
    <row r="21" spans="1:14" x14ac:dyDescent="0.2">
      <c r="A21" s="12" t="str">
        <f t="shared" si="1"/>
        <v>6/30/2015</v>
      </c>
      <c r="B21" s="23"/>
      <c r="C21" s="155">
        <f>[2]CPI!H115</f>
        <v>189.59</v>
      </c>
      <c r="D21" s="65">
        <f t="shared" si="3"/>
        <v>187.33791859114535</v>
      </c>
      <c r="E21" s="65">
        <f t="shared" si="4"/>
        <v>187.62170009861984</v>
      </c>
      <c r="F21" s="65"/>
      <c r="G21" s="65"/>
      <c r="H21" s="29"/>
      <c r="I21"/>
      <c r="J21" s="29"/>
      <c r="K21"/>
      <c r="L21"/>
      <c r="M21" s="2"/>
      <c r="N21" s="12">
        <f t="shared" si="2"/>
        <v>2015.5</v>
      </c>
    </row>
    <row r="22" spans="1:14" x14ac:dyDescent="0.2">
      <c r="A22" s="12" t="str">
        <f t="shared" si="1"/>
        <v>9/30/2015</v>
      </c>
      <c r="B22" s="23"/>
      <c r="C22" s="155">
        <f>[2]CPI!H116</f>
        <v>190.03</v>
      </c>
      <c r="D22" s="65">
        <f t="shared" si="3"/>
        <v>188.23004807822053</v>
      </c>
      <c r="E22" s="65">
        <f t="shared" si="4"/>
        <v>188.44257196289382</v>
      </c>
      <c r="F22" s="65"/>
      <c r="G22" s="65"/>
      <c r="H22" s="29"/>
      <c r="I22"/>
      <c r="J22" s="29"/>
      <c r="K22"/>
      <c r="L22"/>
      <c r="M22" s="2"/>
      <c r="N22" s="12">
        <f t="shared" si="2"/>
        <v>2015.75</v>
      </c>
    </row>
    <row r="23" spans="1:14" x14ac:dyDescent="0.2">
      <c r="A23" s="12" t="str">
        <f t="shared" si="1"/>
        <v>12/31/2015</v>
      </c>
      <c r="B23" s="23"/>
      <c r="C23" s="155">
        <f>[2]CPI!H117</f>
        <v>190.5</v>
      </c>
      <c r="D23" s="65">
        <f t="shared" si="3"/>
        <v>189.12217756529662</v>
      </c>
      <c r="E23" s="65">
        <f t="shared" si="4"/>
        <v>189.26703525938191</v>
      </c>
      <c r="F23" s="65"/>
      <c r="G23" s="65"/>
      <c r="H23" s="29"/>
      <c r="I23"/>
      <c r="J23" s="29"/>
      <c r="K23"/>
      <c r="L23"/>
      <c r="M23" s="2"/>
      <c r="N23" s="12">
        <f t="shared" si="2"/>
        <v>2016</v>
      </c>
    </row>
    <row r="24" spans="1:14" x14ac:dyDescent="0.2">
      <c r="A24" s="12" t="str">
        <f t="shared" si="1"/>
        <v>3/31/2016</v>
      </c>
      <c r="B24"/>
      <c r="C24" s="155">
        <f>[2]CPI!H118</f>
        <v>190.95</v>
      </c>
      <c r="D24" s="65">
        <f t="shared" si="3"/>
        <v>190.01430705237181</v>
      </c>
      <c r="E24" s="65">
        <f t="shared" si="4"/>
        <v>190.09510570111283</v>
      </c>
      <c r="F24" s="65"/>
      <c r="G24" s="65"/>
      <c r="H24"/>
      <c r="I24"/>
      <c r="J24"/>
      <c r="K24"/>
      <c r="L24"/>
      <c r="M24" s="2"/>
      <c r="N24" s="12">
        <f t="shared" si="2"/>
        <v>2016.25</v>
      </c>
    </row>
    <row r="25" spans="1:14" x14ac:dyDescent="0.2">
      <c r="A25" s="12" t="str">
        <f t="shared" si="1"/>
        <v>6/30/2016</v>
      </c>
      <c r="B25"/>
      <c r="C25" s="155">
        <f>[2]CPI!H119</f>
        <v>192.03</v>
      </c>
      <c r="D25" s="65">
        <f t="shared" si="3"/>
        <v>190.9064365394479</v>
      </c>
      <c r="E25" s="65">
        <f t="shared" si="4"/>
        <v>190.92679906986743</v>
      </c>
      <c r="F25" s="65"/>
      <c r="G25" s="65"/>
      <c r="H25"/>
      <c r="I25"/>
      <c r="J25"/>
      <c r="K25"/>
      <c r="L25"/>
      <c r="M25" s="2"/>
      <c r="N25" s="12">
        <f t="shared" si="2"/>
        <v>2016.5</v>
      </c>
    </row>
    <row r="26" spans="1:14" x14ac:dyDescent="0.2">
      <c r="A26" s="12" t="str">
        <f t="shared" si="1"/>
        <v>9/30/2016</v>
      </c>
      <c r="B26"/>
      <c r="C26" s="155">
        <f>[2]CPI!H120</f>
        <v>192.82</v>
      </c>
      <c r="D26" s="65">
        <f t="shared" si="3"/>
        <v>191.79856602652308</v>
      </c>
      <c r="E26" s="65">
        <f t="shared" si="4"/>
        <v>191.76213121646856</v>
      </c>
      <c r="F26" s="65"/>
      <c r="G26" s="65"/>
      <c r="H26"/>
      <c r="I26"/>
      <c r="J26"/>
      <c r="K26"/>
      <c r="L26"/>
      <c r="M26" s="2"/>
      <c r="N26" s="12">
        <f t="shared" si="2"/>
        <v>2016.75</v>
      </c>
    </row>
    <row r="27" spans="1:14" x14ac:dyDescent="0.2">
      <c r="A27" s="12" t="str">
        <f t="shared" si="1"/>
        <v>12/31/2016</v>
      </c>
      <c r="B27"/>
      <c r="C27" s="155">
        <f>[2]CPI!H121</f>
        <v>193.56</v>
      </c>
      <c r="D27" s="65">
        <f t="shared" si="3"/>
        <v>192.69069551359917</v>
      </c>
      <c r="E27" s="65">
        <f t="shared" si="4"/>
        <v>192.60111806109299</v>
      </c>
      <c r="F27" s="65"/>
      <c r="G27" s="65"/>
      <c r="H27"/>
      <c r="I27"/>
      <c r="J27"/>
      <c r="K27"/>
      <c r="L27"/>
      <c r="M27" s="2"/>
      <c r="N27" s="12">
        <f t="shared" si="2"/>
        <v>2017</v>
      </c>
    </row>
    <row r="28" spans="1:14" x14ac:dyDescent="0.2">
      <c r="A28" s="12" t="str">
        <f t="shared" si="1"/>
        <v>3/31/2017</v>
      </c>
      <c r="B28"/>
      <c r="C28" s="155">
        <f>[2]CPI!H122</f>
        <v>193.85</v>
      </c>
      <c r="D28" s="65">
        <f t="shared" si="3"/>
        <v>193.58282500067435</v>
      </c>
      <c r="E28" s="65">
        <f t="shared" si="4"/>
        <v>193.44377559357036</v>
      </c>
      <c r="F28" s="65"/>
      <c r="G28" s="65"/>
      <c r="H28"/>
      <c r="I28"/>
      <c r="J28"/>
      <c r="K28"/>
      <c r="L28"/>
      <c r="M28" s="2"/>
      <c r="N28" s="12">
        <f t="shared" si="2"/>
        <v>2017.25</v>
      </c>
    </row>
    <row r="29" spans="1:14" x14ac:dyDescent="0.2">
      <c r="A29" s="12" t="str">
        <f t="shared" si="1"/>
        <v>6/30/2017</v>
      </c>
      <c r="B29"/>
      <c r="C29" s="155">
        <f>[2]CPI!H123</f>
        <v>194.07</v>
      </c>
      <c r="D29" s="65">
        <f t="shared" si="3"/>
        <v>194.47495448775044</v>
      </c>
      <c r="E29" s="65">
        <f>GROWTH($C$14:$C$55,$N$14:$N$55,$N29,TRUE)</f>
        <v>194.29011987368409</v>
      </c>
      <c r="F29" s="65"/>
      <c r="G29" s="65"/>
      <c r="H29"/>
      <c r="I29"/>
      <c r="J29"/>
      <c r="K29"/>
      <c r="L29"/>
      <c r="M29" s="2"/>
      <c r="N29" s="12">
        <f t="shared" si="2"/>
        <v>2017.5</v>
      </c>
    </row>
    <row r="30" spans="1:14" x14ac:dyDescent="0.2">
      <c r="A30" s="12" t="str">
        <f t="shared" si="1"/>
        <v>9/30/2017</v>
      </c>
      <c r="B30"/>
      <c r="C30" s="155">
        <f>[2]CPI!H124</f>
        <v>194.14</v>
      </c>
      <c r="D30" s="65">
        <f t="shared" si="3"/>
        <v>195.36708397482562</v>
      </c>
      <c r="E30" s="65">
        <f t="shared" si="4"/>
        <v>195.14016703148701</v>
      </c>
      <c r="F30" s="65"/>
      <c r="G30" s="65"/>
      <c r="H30"/>
      <c r="I30"/>
      <c r="J30"/>
      <c r="K30"/>
      <c r="L30"/>
      <c r="M30" s="2"/>
      <c r="N30" s="12">
        <f t="shared" si="2"/>
        <v>2017.75</v>
      </c>
    </row>
    <row r="31" spans="1:14" x14ac:dyDescent="0.2">
      <c r="A31" s="12" t="str">
        <f t="shared" si="1"/>
        <v>12/31/2017</v>
      </c>
      <c r="B31"/>
      <c r="C31" s="155">
        <f>[2]CPI!H125</f>
        <v>194.1</v>
      </c>
      <c r="D31" s="65">
        <f t="shared" si="3"/>
        <v>196.2592134619008</v>
      </c>
      <c r="E31" s="65">
        <f t="shared" si="4"/>
        <v>195.99393326759758</v>
      </c>
      <c r="F31" s="65"/>
      <c r="G31" s="65"/>
      <c r="H31" s="20"/>
      <c r="I31" s="29"/>
      <c r="J31" s="20"/>
      <c r="K31" s="29"/>
      <c r="L31" s="29"/>
      <c r="M31" s="2"/>
      <c r="N31" s="12">
        <f t="shared" si="2"/>
        <v>2018</v>
      </c>
    </row>
    <row r="32" spans="1:14" x14ac:dyDescent="0.2">
      <c r="A32" s="12" t="str">
        <f t="shared" si="1"/>
        <v>3/31/2018</v>
      </c>
      <c r="B32"/>
      <c r="C32" s="155">
        <f>[2]CPI!H126</f>
        <v>194.71</v>
      </c>
      <c r="D32" s="65">
        <f t="shared" si="3"/>
        <v>197.15134294897689</v>
      </c>
      <c r="E32" s="65">
        <f t="shared" si="4"/>
        <v>196.85143485351998</v>
      </c>
      <c r="F32" s="65"/>
      <c r="G32" s="65"/>
      <c r="H32" s="20"/>
      <c r="I32" s="29"/>
      <c r="J32" s="20"/>
      <c r="K32" s="29"/>
      <c r="L32" s="29"/>
      <c r="M32" s="2"/>
      <c r="N32" s="12">
        <f t="shared" si="2"/>
        <v>2018.25</v>
      </c>
    </row>
    <row r="33" spans="1:14" x14ac:dyDescent="0.2">
      <c r="A33" s="12" t="str">
        <f t="shared" si="1"/>
        <v>6/30/2018</v>
      </c>
      <c r="B33" s="23"/>
      <c r="C33" s="155">
        <f>[2]CPI!H127</f>
        <v>195.27</v>
      </c>
      <c r="D33" s="65">
        <f t="shared" si="3"/>
        <v>198.04347243605207</v>
      </c>
      <c r="E33" s="65">
        <f t="shared" si="4"/>
        <v>197.71268813194283</v>
      </c>
      <c r="F33" s="65"/>
      <c r="G33" s="65"/>
      <c r="H33" s="20"/>
      <c r="I33" s="29"/>
      <c r="J33" s="20"/>
      <c r="K33" s="29"/>
      <c r="L33" s="29"/>
      <c r="M33" s="2"/>
      <c r="N33" s="12">
        <f t="shared" si="2"/>
        <v>2018.5</v>
      </c>
    </row>
    <row r="34" spans="1:14" x14ac:dyDescent="0.2">
      <c r="A34" s="12" t="str">
        <f t="shared" si="1"/>
        <v>9/30/2018</v>
      </c>
      <c r="B34" s="23"/>
      <c r="C34" s="155">
        <f>[2]CPI!H128</f>
        <v>195.59</v>
      </c>
      <c r="D34" s="65">
        <f t="shared" si="3"/>
        <v>198.93560192312816</v>
      </c>
      <c r="E34" s="65">
        <f t="shared" si="4"/>
        <v>198.57770951706215</v>
      </c>
      <c r="F34" s="65"/>
      <c r="G34" s="65"/>
      <c r="H34" s="20"/>
      <c r="I34" s="29"/>
      <c r="J34" s="20"/>
      <c r="K34" s="29"/>
      <c r="L34" s="29"/>
      <c r="M34" s="2"/>
      <c r="N34" s="12">
        <f t="shared" si="2"/>
        <v>2018.75</v>
      </c>
    </row>
    <row r="35" spans="1:14" x14ac:dyDescent="0.2">
      <c r="A35" s="12" t="str">
        <f t="shared" si="1"/>
        <v>12/31/2018</v>
      </c>
      <c r="B35"/>
      <c r="C35" s="155">
        <f>[2]CPI!H129</f>
        <v>196.2</v>
      </c>
      <c r="D35" s="65">
        <f t="shared" si="3"/>
        <v>199.82773141020334</v>
      </c>
      <c r="E35" s="65">
        <f>GROWTH($C$14:$C$55,$N$14:$N$55,$N35,TRUE)</f>
        <v>199.44651549488262</v>
      </c>
      <c r="F35" s="65"/>
      <c r="G35" s="65"/>
      <c r="H35" s="29"/>
      <c r="I35" s="29"/>
      <c r="J35" s="29"/>
      <c r="K35" s="29"/>
      <c r="L35" s="29"/>
      <c r="M35" s="2"/>
      <c r="N35" s="12">
        <f t="shared" si="2"/>
        <v>2019</v>
      </c>
    </row>
    <row r="36" spans="1:14" x14ac:dyDescent="0.2">
      <c r="A36" s="12" t="str">
        <f t="shared" si="1"/>
        <v>3/31/2019</v>
      </c>
      <c r="C36" s="155">
        <f>[2]CPI!H130</f>
        <v>196.98</v>
      </c>
      <c r="D36" s="65">
        <f t="shared" si="3"/>
        <v>200.71986089727943</v>
      </c>
      <c r="E36" s="65">
        <f t="shared" si="4"/>
        <v>200.31912262354331</v>
      </c>
      <c r="F36" s="65">
        <f>TREND($C$36:$C$55,$N$36:$N$55,$N36,TRUE)</f>
        <v>189.59771428571548</v>
      </c>
      <c r="G36" s="65">
        <f>GROWTH($C$36:$C$55,$N$36:$N$55,$N36,TRUE)</f>
        <v>190.3178519102236</v>
      </c>
      <c r="H36"/>
      <c r="I36"/>
      <c r="J36"/>
      <c r="K36"/>
      <c r="L36"/>
      <c r="M36" s="2"/>
      <c r="N36" s="12">
        <f t="shared" si="2"/>
        <v>2019.25</v>
      </c>
    </row>
    <row r="37" spans="1:14" x14ac:dyDescent="0.2">
      <c r="A37" s="12" t="str">
        <f t="shared" si="1"/>
        <v>6/30/2019</v>
      </c>
      <c r="C37" s="155">
        <f>[2]CPI!H131</f>
        <v>198.12</v>
      </c>
      <c r="D37" s="65">
        <f t="shared" si="3"/>
        <v>201.61199038435461</v>
      </c>
      <c r="E37" s="65">
        <f t="shared" si="4"/>
        <v>201.19554753362181</v>
      </c>
      <c r="F37" s="65">
        <f t="shared" ref="F37:F54" si="5">TREND($C$36:$C$55,$N$36:$N$55,$N37,TRUE)</f>
        <v>191.56532330827213</v>
      </c>
      <c r="G37" s="65">
        <f t="shared" ref="G37:G54" si="6">GROWTH($C$36:$C$55,$N$36:$N$55,$N37,TRUE)</f>
        <v>192.09708360477742</v>
      </c>
      <c r="H37"/>
      <c r="J37"/>
      <c r="M37" s="2"/>
      <c r="N37" s="12">
        <f t="shared" si="2"/>
        <v>2019.5</v>
      </c>
    </row>
    <row r="38" spans="1:14" x14ac:dyDescent="0.2">
      <c r="A38" s="12" t="str">
        <f t="shared" si="1"/>
        <v>9/30/2019</v>
      </c>
      <c r="C38" s="155">
        <f>[2]CPI!H132</f>
        <v>199.66</v>
      </c>
      <c r="D38" s="65">
        <f t="shared" si="3"/>
        <v>202.5041198714307</v>
      </c>
      <c r="E38" s="65">
        <f t="shared" si="4"/>
        <v>202.07580692846261</v>
      </c>
      <c r="F38" s="65">
        <f t="shared" si="5"/>
        <v>193.53293233082877</v>
      </c>
      <c r="G38" s="65">
        <f t="shared" si="6"/>
        <v>193.89294886991675</v>
      </c>
      <c r="H38" s="65"/>
      <c r="I38" s="65"/>
      <c r="J38" s="29"/>
      <c r="K38" s="29"/>
      <c r="L38" s="29"/>
      <c r="M38" s="2"/>
      <c r="N38" s="12">
        <f t="shared" si="2"/>
        <v>2019.75</v>
      </c>
    </row>
    <row r="39" spans="1:14" x14ac:dyDescent="0.2">
      <c r="A39" s="12" t="str">
        <f t="shared" si="1"/>
        <v>12/31/2019</v>
      </c>
      <c r="C39" s="155">
        <f>[2]CPI!H133</f>
        <v>200.22</v>
      </c>
      <c r="D39" s="65">
        <f t="shared" si="3"/>
        <v>203.39624935850588</v>
      </c>
      <c r="E39" s="65">
        <f t="shared" si="4"/>
        <v>202.95991758448392</v>
      </c>
      <c r="F39" s="65">
        <f t="shared" si="5"/>
        <v>195.50054135338542</v>
      </c>
      <c r="G39" s="65">
        <f t="shared" si="6"/>
        <v>195.70560320852599</v>
      </c>
      <c r="H39" s="65"/>
      <c r="I39" s="65"/>
      <c r="J39" s="29"/>
      <c r="K39" s="29"/>
      <c r="L39" s="29"/>
      <c r="M39" s="2"/>
      <c r="N39" s="12">
        <f t="shared" si="2"/>
        <v>2020</v>
      </c>
    </row>
    <row r="40" spans="1:14" x14ac:dyDescent="0.2">
      <c r="A40" s="12" t="str">
        <f t="shared" si="1"/>
        <v>3/31/2020</v>
      </c>
      <c r="C40" s="155">
        <f>[2]CPI!H134</f>
        <v>199.62</v>
      </c>
      <c r="D40" s="65">
        <f t="shared" si="3"/>
        <v>204.28837884558197</v>
      </c>
      <c r="E40" s="65">
        <f t="shared" si="4"/>
        <v>203.84789635150906</v>
      </c>
      <c r="F40" s="65">
        <f t="shared" si="5"/>
        <v>197.46815037594024</v>
      </c>
      <c r="G40" s="65">
        <f t="shared" si="6"/>
        <v>197.53520357725637</v>
      </c>
      <c r="H40" s="65">
        <f>TREND($C$40:$C$55,$N$40:$N$55,$N40,TRUE)</f>
        <v>190.35941176470442</v>
      </c>
      <c r="I40" s="65">
        <f>GROWTH($C$40:$C$55,$N$40:$N$55,$N40,TRUE)</f>
        <v>191.00182091355771</v>
      </c>
      <c r="J40" s="29"/>
      <c r="K40" s="29"/>
      <c r="L40" s="29"/>
      <c r="M40" s="2"/>
      <c r="N40" s="12">
        <f t="shared" si="2"/>
        <v>2020.25</v>
      </c>
    </row>
    <row r="41" spans="1:14" x14ac:dyDescent="0.2">
      <c r="A41" s="12" t="str">
        <f t="shared" si="1"/>
        <v>6/30/2020</v>
      </c>
      <c r="C41" s="155">
        <f>[2]CPI!H135</f>
        <v>197.58</v>
      </c>
      <c r="D41" s="65">
        <f t="shared" si="3"/>
        <v>205.18050833265715</v>
      </c>
      <c r="E41" s="65">
        <f t="shared" si="4"/>
        <v>204.73976015307588</v>
      </c>
      <c r="F41" s="65">
        <f t="shared" si="5"/>
        <v>199.43575939849688</v>
      </c>
      <c r="G41" s="65">
        <f t="shared" si="6"/>
        <v>199.38190840009443</v>
      </c>
      <c r="H41" s="65">
        <f t="shared" ref="H41:H54" si="7">TREND($C$40:$C$55,$N$40:$N$55,$N41,TRUE)</f>
        <v>193.06832352941274</v>
      </c>
      <c r="I41" s="65">
        <f t="shared" ref="I41:I54" si="8">GROWTH($C$40:$C$55,$N$40:$N$55,$N41,TRUE)</f>
        <v>193.46459108624472</v>
      </c>
      <c r="J41"/>
      <c r="K41" s="19"/>
      <c r="L41" s="19"/>
      <c r="M41" s="2"/>
      <c r="N41" s="12">
        <f t="shared" si="2"/>
        <v>2020.5</v>
      </c>
    </row>
    <row r="42" spans="1:14" x14ac:dyDescent="0.2">
      <c r="A42" s="12" t="str">
        <f t="shared" si="1"/>
        <v>9/30/2020</v>
      </c>
      <c r="C42" s="155">
        <f>[2]CPI!H136</f>
        <v>195.82</v>
      </c>
      <c r="D42" s="65">
        <f t="shared" si="3"/>
        <v>206.07263781973325</v>
      </c>
      <c r="E42" s="65">
        <f t="shared" si="4"/>
        <v>205.63552598676955</v>
      </c>
      <c r="F42" s="65">
        <f t="shared" si="5"/>
        <v>201.40336842105353</v>
      </c>
      <c r="G42" s="65">
        <f t="shared" si="6"/>
        <v>201.24587758210242</v>
      </c>
      <c r="H42" s="65">
        <f t="shared" si="7"/>
        <v>195.77723529411742</v>
      </c>
      <c r="I42" s="65">
        <f t="shared" si="8"/>
        <v>195.95911612333006</v>
      </c>
      <c r="J42" s="65"/>
      <c r="K42" s="65"/>
      <c r="L42" s="65"/>
      <c r="M42" s="2"/>
      <c r="N42" s="12">
        <f t="shared" si="2"/>
        <v>2020.75</v>
      </c>
    </row>
    <row r="43" spans="1:14" x14ac:dyDescent="0.2">
      <c r="A43" s="12" t="str">
        <f t="shared" si="1"/>
        <v>12/31/2020</v>
      </c>
      <c r="B43"/>
      <c r="C43" s="155">
        <f>[2]CPI!H137</f>
        <v>194.7</v>
      </c>
      <c r="D43" s="65">
        <f t="shared" si="3"/>
        <v>206.96476730680843</v>
      </c>
      <c r="E43" s="65">
        <f t="shared" si="4"/>
        <v>206.53521092454199</v>
      </c>
      <c r="F43" s="65">
        <f t="shared" si="5"/>
        <v>203.37097744361017</v>
      </c>
      <c r="G43" s="65">
        <f t="shared" si="6"/>
        <v>203.12727252324163</v>
      </c>
      <c r="H43" s="65">
        <f t="shared" si="7"/>
        <v>198.4861470588221</v>
      </c>
      <c r="I43" s="65">
        <f t="shared" si="8"/>
        <v>198.48580547082616</v>
      </c>
      <c r="J43" s="65"/>
      <c r="K43" s="65"/>
      <c r="L43" s="65"/>
      <c r="M43" s="2"/>
      <c r="N43" s="12">
        <f t="shared" si="2"/>
        <v>2021</v>
      </c>
    </row>
    <row r="44" spans="1:14" x14ac:dyDescent="0.2">
      <c r="A44" s="12" t="str">
        <f t="shared" si="1"/>
        <v>3/31/2021</v>
      </c>
      <c r="C44" s="155">
        <f>[2]CPI!H138</f>
        <v>194.2</v>
      </c>
      <c r="D44" s="65">
        <f t="shared" si="3"/>
        <v>207.85689679388452</v>
      </c>
      <c r="E44" s="65">
        <f t="shared" si="4"/>
        <v>207.43883211303313</v>
      </c>
      <c r="F44" s="65">
        <f>TREND($C$36:$C$55,$N$36:$N$55,$N44,TRUE)</f>
        <v>205.33858646616682</v>
      </c>
      <c r="G44" s="65">
        <f t="shared" si="6"/>
        <v>205.02625613237075</v>
      </c>
      <c r="H44" s="65">
        <f t="shared" si="7"/>
        <v>201.19505882353042</v>
      </c>
      <c r="I44" s="65">
        <f t="shared" si="8"/>
        <v>201.04507385411836</v>
      </c>
      <c r="J44" s="65">
        <f>TREND($C$44:$C$55,$N$44:$N$55,$N44,TRUE)</f>
        <v>196.43487179487056</v>
      </c>
      <c r="K44" s="65">
        <f>GROWTH($C$44:$C$55,$N$44:$N$55,$N44,TRUE)</f>
        <v>196.71850437906767</v>
      </c>
      <c r="L44" s="65"/>
      <c r="M44" s="2"/>
      <c r="N44" s="12">
        <f t="shared" si="2"/>
        <v>2021.25</v>
      </c>
    </row>
    <row r="45" spans="1:14" x14ac:dyDescent="0.2">
      <c r="A45" s="12" t="str">
        <f t="shared" si="1"/>
        <v>6/30/2021</v>
      </c>
      <c r="C45" s="155">
        <f>[2]CPI!H139</f>
        <v>197.36</v>
      </c>
      <c r="D45" s="65">
        <f>TREND($C$14:$C$55,$N$14:$N$55,$N45,TRUE)</f>
        <v>208.7490262809597</v>
      </c>
      <c r="E45" s="65">
        <f t="shared" si="4"/>
        <v>208.34640677390769</v>
      </c>
      <c r="F45" s="65">
        <f t="shared" si="5"/>
        <v>207.30619548872346</v>
      </c>
      <c r="G45" s="65">
        <f t="shared" si="6"/>
        <v>206.94299284132913</v>
      </c>
      <c r="H45" s="65">
        <f t="shared" si="7"/>
        <v>203.9039705882351</v>
      </c>
      <c r="I45" s="65">
        <f t="shared" si="8"/>
        <v>203.63734134604508</v>
      </c>
      <c r="J45" s="65">
        <f t="shared" ref="J45:J54" si="9">TREND($C$44:$C$55,$N$44:$N$55,$N45,TRUE)</f>
        <v>199.8573193473203</v>
      </c>
      <c r="K45" s="65">
        <f t="shared" ref="K45:K54" si="10">GROWTH($C$44:$C$55,$N$44:$N$55,$N45,TRUE)</f>
        <v>199.90770706456334</v>
      </c>
      <c r="L45" s="65"/>
      <c r="M45" s="2"/>
      <c r="N45" s="12">
        <f t="shared" si="2"/>
        <v>2021.5</v>
      </c>
    </row>
    <row r="46" spans="1:14" x14ac:dyDescent="0.2">
      <c r="A46" s="12" t="str">
        <f t="shared" si="1"/>
        <v>9/30/2021</v>
      </c>
      <c r="C46" s="155">
        <f>[2]CPI!H140</f>
        <v>201.11</v>
      </c>
      <c r="D46" s="65">
        <f t="shared" si="3"/>
        <v>209.64115576803488</v>
      </c>
      <c r="E46" s="65">
        <f>GROWTH($C$14:$C$55,$N$14:$N$55,$N46,TRUE)</f>
        <v>209.25795220417174</v>
      </c>
      <c r="F46" s="65">
        <f t="shared" si="5"/>
        <v>209.2738045112801</v>
      </c>
      <c r="G46" s="65">
        <f t="shared" si="6"/>
        <v>208.87764861919786</v>
      </c>
      <c r="H46" s="65">
        <f t="shared" si="7"/>
        <v>206.61288235293978</v>
      </c>
      <c r="I46" s="65">
        <f t="shared" si="8"/>
        <v>206.26303343585656</v>
      </c>
      <c r="J46" s="65">
        <f t="shared" si="9"/>
        <v>203.2797668997664</v>
      </c>
      <c r="K46" s="65">
        <f t="shared" si="10"/>
        <v>203.14861314116811</v>
      </c>
      <c r="L46" s="65"/>
      <c r="M46" s="2"/>
      <c r="N46" s="12">
        <f t="shared" si="2"/>
        <v>2021.75</v>
      </c>
    </row>
    <row r="47" spans="1:14" x14ac:dyDescent="0.2">
      <c r="A47" s="12" t="str">
        <f t="shared" si="1"/>
        <v>12/31/2021</v>
      </c>
      <c r="C47" s="155">
        <f>[2]CPI!H141</f>
        <v>206.6</v>
      </c>
      <c r="D47" s="65">
        <f t="shared" si="3"/>
        <v>210.53328525511097</v>
      </c>
      <c r="E47" s="65">
        <f t="shared" si="4"/>
        <v>210.1734857765143</v>
      </c>
      <c r="F47" s="65">
        <f t="shared" si="5"/>
        <v>211.24141353383493</v>
      </c>
      <c r="G47" s="65">
        <f t="shared" si="6"/>
        <v>210.83039098664779</v>
      </c>
      <c r="H47" s="65">
        <f t="shared" si="7"/>
        <v>209.3217941176481</v>
      </c>
      <c r="I47" s="65">
        <f t="shared" si="8"/>
        <v>208.92258109903653</v>
      </c>
      <c r="J47" s="65">
        <f t="shared" si="9"/>
        <v>206.70221445221614</v>
      </c>
      <c r="K47" s="65">
        <f t="shared" si="10"/>
        <v>206.44206082484962</v>
      </c>
      <c r="L47" s="65"/>
      <c r="M47" s="2"/>
      <c r="N47" s="12">
        <f t="shared" si="2"/>
        <v>2022</v>
      </c>
    </row>
    <row r="48" spans="1:14" x14ac:dyDescent="0.2">
      <c r="A48" s="12" t="str">
        <f t="shared" si="1"/>
        <v>3/31/2022</v>
      </c>
      <c r="B48"/>
      <c r="C48" s="155">
        <f>[2]CPI!H142</f>
        <v>212.8</v>
      </c>
      <c r="D48" s="65">
        <f t="shared" si="3"/>
        <v>211.42541474218615</v>
      </c>
      <c r="E48" s="65">
        <f t="shared" si="4"/>
        <v>211.09302493962619</v>
      </c>
      <c r="F48" s="65">
        <f t="shared" si="5"/>
        <v>213.20902255639157</v>
      </c>
      <c r="G48" s="65">
        <f t="shared" si="6"/>
        <v>212.80138903046534</v>
      </c>
      <c r="H48" s="65">
        <f t="shared" si="7"/>
        <v>212.03070588235278</v>
      </c>
      <c r="I48" s="65">
        <f t="shared" si="8"/>
        <v>211.61642086805293</v>
      </c>
      <c r="J48" s="65">
        <f>TREND($C$44:$C$55,$N$44:$N$55,$N48,TRUE)</f>
        <v>210.12466200466224</v>
      </c>
      <c r="K48" s="65">
        <f t="shared" si="10"/>
        <v>209.78890192076588</v>
      </c>
      <c r="L48" s="65"/>
      <c r="M48" s="2"/>
      <c r="N48" s="12">
        <f t="shared" si="2"/>
        <v>2022.25</v>
      </c>
    </row>
    <row r="49" spans="1:14" x14ac:dyDescent="0.2">
      <c r="A49" s="12" t="str">
        <f t="shared" si="1"/>
        <v>6/30/2022</v>
      </c>
      <c r="C49" s="155">
        <f>[2]CPI!H143</f>
        <v>217.05</v>
      </c>
      <c r="D49" s="65">
        <f t="shared" si="3"/>
        <v>212.31754422926224</v>
      </c>
      <c r="E49" s="65">
        <f t="shared" si="4"/>
        <v>212.01658721854503</v>
      </c>
      <c r="F49" s="65">
        <f t="shared" si="5"/>
        <v>215.17663157894822</v>
      </c>
      <c r="G49" s="65">
        <f t="shared" si="6"/>
        <v>214.79081341818525</v>
      </c>
      <c r="H49" s="65">
        <f t="shared" si="7"/>
        <v>214.73961764705746</v>
      </c>
      <c r="I49" s="65">
        <f t="shared" si="8"/>
        <v>214.34499490400361</v>
      </c>
      <c r="J49" s="65">
        <f t="shared" si="9"/>
        <v>213.54710955710834</v>
      </c>
      <c r="K49" s="65">
        <f t="shared" si="10"/>
        <v>213.19000204353233</v>
      </c>
      <c r="L49" s="65"/>
      <c r="M49" s="2"/>
      <c r="N49" s="12">
        <f t="shared" si="2"/>
        <v>2022.5</v>
      </c>
    </row>
    <row r="50" spans="1:14" x14ac:dyDescent="0.2">
      <c r="A50" s="12" t="str">
        <f t="shared" si="1"/>
        <v>9/30/2022</v>
      </c>
      <c r="C50" s="155">
        <f>[2]CPI!H144</f>
        <v>220.34</v>
      </c>
      <c r="D50" s="65">
        <f t="shared" si="3"/>
        <v>213.20967371633742</v>
      </c>
      <c r="E50" s="65">
        <f t="shared" si="4"/>
        <v>212.94419021497669</v>
      </c>
      <c r="F50" s="65">
        <f t="shared" si="5"/>
        <v>217.14424060150486</v>
      </c>
      <c r="G50" s="65">
        <f t="shared" si="6"/>
        <v>216.79883641285895</v>
      </c>
      <c r="H50" s="65">
        <f t="shared" si="7"/>
        <v>217.44852941176578</v>
      </c>
      <c r="I50" s="65">
        <f t="shared" si="8"/>
        <v>217.10875106920392</v>
      </c>
      <c r="J50" s="65">
        <f t="shared" si="9"/>
        <v>216.96955710955808</v>
      </c>
      <c r="K50" s="65">
        <f t="shared" si="10"/>
        <v>216.64624084111853</v>
      </c>
      <c r="L50" s="65"/>
      <c r="M50" s="2"/>
      <c r="N50" s="12">
        <f t="shared" si="2"/>
        <v>2022.75</v>
      </c>
    </row>
    <row r="51" spans="1:14" x14ac:dyDescent="0.2">
      <c r="A51" s="12" t="str">
        <f t="shared" si="1"/>
        <v>12/31/2022</v>
      </c>
      <c r="C51" s="155">
        <f>[2]CPI!H145</f>
        <v>222.83</v>
      </c>
      <c r="D51" s="65">
        <f t="shared" si="3"/>
        <v>214.10180320341351</v>
      </c>
      <c r="E51" s="65">
        <f t="shared" si="4"/>
        <v>213.87585160764328</v>
      </c>
      <c r="F51" s="65">
        <f t="shared" si="5"/>
        <v>219.11184962406151</v>
      </c>
      <c r="G51" s="65">
        <f t="shared" si="6"/>
        <v>218.8256318879923</v>
      </c>
      <c r="H51" s="65">
        <f t="shared" si="7"/>
        <v>220.15744117647046</v>
      </c>
      <c r="I51" s="65">
        <f t="shared" si="8"/>
        <v>219.9081430006795</v>
      </c>
      <c r="J51" s="65">
        <f t="shared" si="9"/>
        <v>220.39200466200418</v>
      </c>
      <c r="K51" s="65">
        <f t="shared" si="10"/>
        <v>220.15851222237544</v>
      </c>
      <c r="L51" s="65"/>
      <c r="M51" s="2"/>
      <c r="N51" s="12">
        <f t="shared" si="2"/>
        <v>2023</v>
      </c>
    </row>
    <row r="52" spans="1:14" x14ac:dyDescent="0.2">
      <c r="A52" s="12" t="str">
        <f t="shared" si="1"/>
        <v>3/31/2023</v>
      </c>
      <c r="C52" s="155">
        <f>[2]CPI!H146</f>
        <v>225.57</v>
      </c>
      <c r="D52" s="65">
        <f t="shared" si="3"/>
        <v>214.99393269048869</v>
      </c>
      <c r="E52" s="65">
        <f t="shared" si="4"/>
        <v>214.81158915260778</v>
      </c>
      <c r="F52" s="65">
        <f t="shared" si="5"/>
        <v>221.07945864661815</v>
      </c>
      <c r="G52" s="65">
        <f t="shared" si="6"/>
        <v>220.87137534257656</v>
      </c>
      <c r="H52" s="65">
        <f t="shared" si="7"/>
        <v>222.86635294117514</v>
      </c>
      <c r="I52" s="65">
        <f t="shared" si="8"/>
        <v>222.7436301846345</v>
      </c>
      <c r="J52" s="65">
        <f t="shared" si="9"/>
        <v>223.81445221445392</v>
      </c>
      <c r="K52" s="65">
        <f>GROWTH($C$44:$C$55,$N$44:$N$55,$N52,TRUE)</f>
        <v>223.72772458819009</v>
      </c>
      <c r="L52" s="65"/>
      <c r="M52" s="2"/>
      <c r="N52" s="12">
        <f t="shared" si="2"/>
        <v>2023.25</v>
      </c>
    </row>
    <row r="53" spans="1:14" x14ac:dyDescent="0.2">
      <c r="A53" s="12" t="str">
        <f t="shared" si="1"/>
        <v>6/30/2023</v>
      </c>
      <c r="C53" s="155">
        <f>[2]CPI!H147</f>
        <v>227.25</v>
      </c>
      <c r="D53" s="65">
        <f t="shared" si="3"/>
        <v>215.88606217756478</v>
      </c>
      <c r="E53" s="65">
        <f t="shared" si="4"/>
        <v>215.75142068362445</v>
      </c>
      <c r="F53" s="65">
        <f t="shared" si="5"/>
        <v>223.04706766917479</v>
      </c>
      <c r="G53" s="65">
        <f t="shared" si="6"/>
        <v>222.93624391630965</v>
      </c>
      <c r="H53" s="65">
        <f t="shared" si="7"/>
        <v>225.57526470588346</v>
      </c>
      <c r="I53" s="65">
        <f t="shared" si="8"/>
        <v>225.61567803187992</v>
      </c>
      <c r="J53" s="65">
        <f t="shared" si="9"/>
        <v>227.23689976690002</v>
      </c>
      <c r="K53" s="65">
        <f t="shared" si="10"/>
        <v>227.35480106648038</v>
      </c>
      <c r="L53" s="65"/>
      <c r="M53" s="2"/>
      <c r="N53" s="12">
        <f t="shared" si="2"/>
        <v>2023.5</v>
      </c>
    </row>
    <row r="54" spans="1:14" x14ac:dyDescent="0.2">
      <c r="A54" s="12" t="str">
        <f>TEXT(DATE(YEAR(A55+1),MONTH(A55+1)-3,1)-1,"m/d/yyyy")</f>
        <v>9/30/2023</v>
      </c>
      <c r="C54" s="155">
        <f>[2]CPI!H148</f>
        <v>228.92</v>
      </c>
      <c r="D54" s="65">
        <f t="shared" si="3"/>
        <v>216.77819166463996</v>
      </c>
      <c r="E54" s="65">
        <f t="shared" si="4"/>
        <v>216.69536411246679</v>
      </c>
      <c r="F54" s="65">
        <f t="shared" si="5"/>
        <v>225.01467669172962</v>
      </c>
      <c r="G54" s="65">
        <f t="shared" si="6"/>
        <v>225.02041640490935</v>
      </c>
      <c r="H54" s="65">
        <f t="shared" si="7"/>
        <v>228.28417647058814</v>
      </c>
      <c r="I54" s="65">
        <f t="shared" si="8"/>
        <v>228.52475795420659</v>
      </c>
      <c r="J54" s="65">
        <f t="shared" si="9"/>
        <v>230.65934731934613</v>
      </c>
      <c r="K54" s="65">
        <f t="shared" si="10"/>
        <v>231.04067975089916</v>
      </c>
      <c r="L54"/>
      <c r="M54" s="2"/>
      <c r="N54" s="12">
        <f t="shared" si="2"/>
        <v>2023.75</v>
      </c>
    </row>
    <row r="55" spans="1:14" x14ac:dyDescent="0.2">
      <c r="A55" s="12" t="str">
        <f>TEXT($N$9,"m/d/yyyy")</f>
        <v>12/31/2023</v>
      </c>
      <c r="C55" s="155">
        <f>[2]CPI!H149</f>
        <v>229.07</v>
      </c>
      <c r="D55" s="65">
        <f>TREND($C$14:$C$55,$N$14:$N$55,$N55,TRUE)</f>
        <v>217.67032115171605</v>
      </c>
      <c r="E55" s="65">
        <f t="shared" si="4"/>
        <v>217.6434374292794</v>
      </c>
      <c r="F55" s="65">
        <f>TREND($C$36:$C$55,$N$36:$N$55,$N55,TRUE)</f>
        <v>226.98228571428626</v>
      </c>
      <c r="G55" s="65">
        <f>GROWTH($C$36:$C$55,$N$36:$N$55,$N55,TRUE)</f>
        <v>227.12407327562047</v>
      </c>
      <c r="H55" s="65">
        <f>TREND($C$40:$C$55,$N$40:$N$55,$N55,TRUE)</f>
        <v>230.99308823529282</v>
      </c>
      <c r="I55" s="65">
        <f>GROWTH($C$40:$C$55,$N$40:$N$55,$N55,TRUE)</f>
        <v>231.47134744177407</v>
      </c>
      <c r="J55" s="65">
        <f>TREND($C$44:$C$55,$N$44:$N$55,$N55,TRUE)</f>
        <v>234.08179487179586</v>
      </c>
      <c r="K55" s="65">
        <f>GROWTH($C$44:$C$55,$N$44:$N$55,$N55,TRUE)</f>
        <v>234.78631394351063</v>
      </c>
      <c r="L55"/>
      <c r="M55" s="2"/>
      <c r="N55" s="12">
        <f t="shared" si="2"/>
        <v>2024</v>
      </c>
    </row>
    <row r="56" spans="1:14" x14ac:dyDescent="0.2">
      <c r="A56" s="87"/>
      <c r="B56" s="9"/>
      <c r="C56" s="95"/>
      <c r="D56" s="67"/>
      <c r="E56" s="67"/>
      <c r="F56" s="67"/>
      <c r="G56" s="67"/>
      <c r="H56" s="67"/>
      <c r="I56" s="67"/>
      <c r="J56" s="67"/>
      <c r="K56" s="67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238</v>
      </c>
      <c r="C58"/>
      <c r="D58" s="20">
        <f>(D55-D51)/D55</f>
        <v>1.6394141054329993E-2</v>
      </c>
      <c r="E58" s="20">
        <f>LOGEST($C$14:$C$55,$N$14:$N$55,TRUE,TRUE)-1</f>
        <v>1.7615760700974814E-2</v>
      </c>
      <c r="F58" s="20">
        <f>(F55-F51)/F55</f>
        <v>3.4674230482160451E-2</v>
      </c>
      <c r="G58" s="20">
        <f>LOGEST($C$36:$C$55,$N$36:$N$55,TRUE,TRUE)-1</f>
        <v>3.7922620471971147E-2</v>
      </c>
      <c r="H58" s="20">
        <f>(H55-H51)/H55</f>
        <v>4.6908966591177902E-2</v>
      </c>
      <c r="I58" s="20">
        <f>LOGEST($C$40:$C$55,$N$40:$N$55,TRUE,TRUE)-1</f>
        <v>5.2581974834185585E-2</v>
      </c>
      <c r="J58" s="20">
        <f>(J55-J51)/J55</f>
        <v>5.8482934212331354E-2</v>
      </c>
      <c r="K58" s="20">
        <f>LOGEST($C$44:$C$55,$N$44:$N$55,TRUE,TRUE)-1</f>
        <v>6.6442135593475227E-2</v>
      </c>
      <c r="L58" s="20"/>
      <c r="M58" s="2"/>
    </row>
    <row r="59" spans="1:14" x14ac:dyDescent="0.2">
      <c r="A59" t="s">
        <v>239</v>
      </c>
      <c r="B59"/>
      <c r="C59" s="53"/>
      <c r="D59" s="28">
        <f>INDEX(LINEST($C$14:$C$55,$N$14:$N$55,TRUE,TRUE),3,1)</f>
        <v>0.75424488880551666</v>
      </c>
      <c r="E59" s="28">
        <f>INDEX(LOGEST($C$14:$C$55,$N$14:$N$55,TRUE,TRUE),3,1)</f>
        <v>0.77203378568973169</v>
      </c>
      <c r="F59" s="28">
        <f>INDEX(LINEST($C$36:$C$55,$N$36:$N$55,TRUE,TRUE),3,1)</f>
        <v>0.79397634791714022</v>
      </c>
      <c r="G59" s="28">
        <f>INDEX(LOGEST($C$36:$C$55,$N$36:$N$55,TRUE,TRUE),3,1)</f>
        <v>0.79149903005842359</v>
      </c>
      <c r="H59" s="28">
        <f>INDEX(LINEST($C$40:$C$55,$N$40:$N$55,TRUE,TRUE),3,1)</f>
        <v>0.89730583549851883</v>
      </c>
      <c r="I59" s="28">
        <f>INDEX(LOGEST($C$40:$C$55,$N$40:$N$55,TRUE,TRUE),3,1)</f>
        <v>0.8940803019691671</v>
      </c>
      <c r="J59" s="28">
        <f>INDEX(LINEST($C$44:$C$55,$N$44:$N$55,TRUE,TRUE),3,1)</f>
        <v>0.95229566726277026</v>
      </c>
      <c r="K59" s="28">
        <f>INDEX(LOGEST($C$44:$C$55,$N$44:$N$55,TRUE,TRUE),3,1)</f>
        <v>0.94507910842398246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x14ac:dyDescent="0.2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/>
      <c r="B69"/>
      <c r="C69" s="53"/>
      <c r="D69" s="28"/>
      <c r="E69" s="28"/>
      <c r="F69" s="28"/>
      <c r="G69" s="28"/>
      <c r="H69" s="28"/>
      <c r="I69" s="28"/>
      <c r="J69" s="28"/>
      <c r="K69" s="28"/>
      <c r="L69" s="28"/>
      <c r="M69" s="2"/>
    </row>
    <row r="70" spans="1:13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mergeCells count="3">
    <mergeCell ref="F10:G10"/>
    <mergeCell ref="H10:I10"/>
    <mergeCell ref="J10:K10"/>
  </mergeCells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rgb="FF00FF00"/>
  </sheetPr>
  <dimension ref="A1:O72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5" x14ac:dyDescent="0.2">
      <c r="A1" s="8" t="str">
        <f>'1'!$A$1</f>
        <v>Texas Windstorm Insurance Association</v>
      </c>
      <c r="B1" s="12"/>
      <c r="J1" s="7" t="s">
        <v>72</v>
      </c>
      <c r="K1" s="1"/>
      <c r="N1" t="s">
        <v>369</v>
      </c>
      <c r="O1" t="s">
        <v>382</v>
      </c>
    </row>
    <row r="2" spans="1:15" x14ac:dyDescent="0.2">
      <c r="A2" s="8" t="str">
        <f>'1'!$A$2</f>
        <v>Residential Property - Wind &amp; Hail</v>
      </c>
      <c r="B2" s="12"/>
      <c r="J2" s="7"/>
      <c r="K2" s="2"/>
      <c r="N2" t="s">
        <v>369</v>
      </c>
      <c r="O2" t="s">
        <v>383</v>
      </c>
    </row>
    <row r="3" spans="1:15" x14ac:dyDescent="0.2">
      <c r="A3" s="8" t="str">
        <f>'1'!$A$3</f>
        <v>Rate Level Review</v>
      </c>
      <c r="B3" s="12"/>
      <c r="K3" s="2"/>
      <c r="N3" t="s">
        <v>369</v>
      </c>
      <c r="O3" t="s">
        <v>384</v>
      </c>
    </row>
    <row r="4" spans="1:15" x14ac:dyDescent="0.2">
      <c r="A4" t="s">
        <v>463</v>
      </c>
      <c r="B4" s="12"/>
      <c r="K4" s="2"/>
      <c r="N4" t="s">
        <v>369</v>
      </c>
      <c r="O4" t="s">
        <v>385</v>
      </c>
    </row>
    <row r="5" spans="1:15" x14ac:dyDescent="0.2">
      <c r="K5" s="2"/>
    </row>
    <row r="6" spans="1:15" ht="12" thickBot="1" x14ac:dyDescent="0.25">
      <c r="A6" s="6"/>
      <c r="B6" s="6"/>
      <c r="C6" s="6"/>
      <c r="D6" s="6"/>
      <c r="E6" s="6"/>
      <c r="F6" s="6"/>
      <c r="K6" s="2"/>
    </row>
    <row r="7" spans="1:15" ht="12" thickTop="1" x14ac:dyDescent="0.2">
      <c r="A7" t="s">
        <v>52</v>
      </c>
      <c r="K7" s="2"/>
    </row>
    <row r="8" spans="1:15" x14ac:dyDescent="0.2">
      <c r="A8" t="s">
        <v>53</v>
      </c>
      <c r="C8" s="194"/>
      <c r="D8" s="11"/>
      <c r="E8" s="11" t="s">
        <v>34</v>
      </c>
      <c r="F8" s="11"/>
      <c r="K8" s="2"/>
      <c r="L8" s="17"/>
    </row>
    <row r="9" spans="1:15" x14ac:dyDescent="0.2">
      <c r="A9" t="s">
        <v>33</v>
      </c>
      <c r="C9" s="11" t="s">
        <v>34</v>
      </c>
      <c r="D9" s="11" t="s">
        <v>34</v>
      </c>
      <c r="E9" s="11" t="s">
        <v>73</v>
      </c>
      <c r="F9" s="11" t="s">
        <v>6</v>
      </c>
      <c r="K9" s="2"/>
    </row>
    <row r="10" spans="1:15" x14ac:dyDescent="0.2">
      <c r="A10" s="9" t="str">
        <f>TEXT('[3]3.2d'!N9,"m/d")</f>
        <v>12/31</v>
      </c>
      <c r="B10" s="9"/>
      <c r="C10" s="125" t="s">
        <v>40</v>
      </c>
      <c r="D10" s="125" t="s">
        <v>35</v>
      </c>
      <c r="E10" s="125" t="s">
        <v>74</v>
      </c>
      <c r="F10" s="125" t="s">
        <v>75</v>
      </c>
      <c r="K10" s="2"/>
    </row>
    <row r="11" spans="1:15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5" x14ac:dyDescent="0.2">
      <c r="A12" s="114"/>
      <c r="C12" s="26"/>
      <c r="D12" s="26"/>
      <c r="K12" s="2"/>
    </row>
    <row r="13" spans="1:15" x14ac:dyDescent="0.2">
      <c r="A13" s="114">
        <v>1980</v>
      </c>
      <c r="B13" s="23"/>
      <c r="C13" s="157">
        <f>'[3]4'!C13</f>
        <v>12911</v>
      </c>
      <c r="D13" s="157">
        <f>'[3]4'!D13</f>
        <v>1318</v>
      </c>
      <c r="E13" s="158">
        <f>'[3]4'!E13</f>
        <v>0.10199999999999999</v>
      </c>
      <c r="F13" s="31" t="s">
        <v>76</v>
      </c>
      <c r="K13" s="2"/>
    </row>
    <row r="14" spans="1:15" x14ac:dyDescent="0.2">
      <c r="A14" t="str">
        <f t="shared" ref="A14:A56" si="0">TEXT(A13+1,"#")</f>
        <v>1981</v>
      </c>
      <c r="B14" s="23"/>
      <c r="C14" s="157">
        <f>'[3]4'!C14</f>
        <v>2512</v>
      </c>
      <c r="D14" s="157">
        <f>'[3]4'!D14</f>
        <v>543</v>
      </c>
      <c r="E14" s="158">
        <f>'[3]4'!E14</f>
        <v>0.216</v>
      </c>
      <c r="F14" s="31"/>
      <c r="K14" s="2"/>
    </row>
    <row r="15" spans="1:15" x14ac:dyDescent="0.2">
      <c r="A15" t="str">
        <f t="shared" si="0"/>
        <v>1982</v>
      </c>
      <c r="B15" s="23"/>
      <c r="C15" s="157">
        <f>'[3]4'!C15</f>
        <v>796</v>
      </c>
      <c r="D15" s="157">
        <f>'[3]4'!D15</f>
        <v>565</v>
      </c>
      <c r="E15" s="158">
        <f>'[3]4'!E15</f>
        <v>0.71</v>
      </c>
      <c r="F15" s="31"/>
      <c r="K15" s="2"/>
    </row>
    <row r="16" spans="1:15" x14ac:dyDescent="0.2">
      <c r="A16" t="str">
        <f t="shared" si="0"/>
        <v>1983</v>
      </c>
      <c r="B16" s="23"/>
      <c r="C16" s="157">
        <f>'[3]4'!C16</f>
        <v>148999</v>
      </c>
      <c r="D16" s="157">
        <f>'[3]4'!D16</f>
        <v>9127</v>
      </c>
      <c r="E16" s="158">
        <f>'[3]4'!E16</f>
        <v>6.0999999999999999E-2</v>
      </c>
      <c r="F16" s="31" t="s">
        <v>76</v>
      </c>
      <c r="K16" s="2"/>
    </row>
    <row r="17" spans="1:11" x14ac:dyDescent="0.2">
      <c r="A17" t="str">
        <f t="shared" si="0"/>
        <v>1984</v>
      </c>
      <c r="B17" s="23"/>
      <c r="C17" s="157">
        <f>'[3]4'!C17</f>
        <v>999</v>
      </c>
      <c r="D17" s="157">
        <f>'[3]4'!D17</f>
        <v>324</v>
      </c>
      <c r="E17" s="158">
        <f>'[3]4'!E17</f>
        <v>0.32400000000000001</v>
      </c>
      <c r="F17" s="31"/>
      <c r="K17" s="2"/>
    </row>
    <row r="18" spans="1:11" x14ac:dyDescent="0.2">
      <c r="A18" t="str">
        <f t="shared" si="0"/>
        <v>1985</v>
      </c>
      <c r="B18" s="23"/>
      <c r="C18" s="157">
        <f>'[3]4'!C18</f>
        <v>512</v>
      </c>
      <c r="D18" s="157">
        <f>'[3]4'!D18</f>
        <v>297</v>
      </c>
      <c r="E18" s="158">
        <f>'[3]4'!E18</f>
        <v>0.57999999999999996</v>
      </c>
      <c r="F18" s="31"/>
      <c r="K18" s="2"/>
    </row>
    <row r="19" spans="1:11" x14ac:dyDescent="0.2">
      <c r="A19" t="str">
        <f t="shared" si="0"/>
        <v>1986</v>
      </c>
      <c r="B19" s="23"/>
      <c r="C19" s="157">
        <f>'[3]4'!C19</f>
        <v>881</v>
      </c>
      <c r="D19" s="157">
        <f>'[3]4'!D19</f>
        <v>505</v>
      </c>
      <c r="E19" s="158">
        <f>'[3]4'!E19</f>
        <v>0.57299999999999995</v>
      </c>
      <c r="F19" s="31" t="s">
        <v>76</v>
      </c>
      <c r="K19" s="2"/>
    </row>
    <row r="20" spans="1:11" x14ac:dyDescent="0.2">
      <c r="A20" t="str">
        <f t="shared" si="0"/>
        <v>1987</v>
      </c>
      <c r="B20" s="23"/>
      <c r="C20" s="157">
        <f>'[3]4'!C20</f>
        <v>1897</v>
      </c>
      <c r="D20" s="157">
        <f>'[3]4'!D20</f>
        <v>1056</v>
      </c>
      <c r="E20" s="158">
        <f>'[3]4'!E20</f>
        <v>0.55700000000000005</v>
      </c>
      <c r="F20" s="31"/>
      <c r="K20" s="2"/>
    </row>
    <row r="21" spans="1:11" x14ac:dyDescent="0.2">
      <c r="A21" t="str">
        <f t="shared" si="0"/>
        <v>1988</v>
      </c>
      <c r="C21" s="157">
        <f>'[3]4'!C21</f>
        <v>1160</v>
      </c>
      <c r="D21" s="157">
        <f>'[3]4'!D21</f>
        <v>357</v>
      </c>
      <c r="E21" s="158">
        <f>'[3]4'!E21</f>
        <v>0.308</v>
      </c>
      <c r="F21" s="17"/>
      <c r="K21" s="2"/>
    </row>
    <row r="22" spans="1:11" x14ac:dyDescent="0.2">
      <c r="A22" t="str">
        <f t="shared" si="0"/>
        <v>1989</v>
      </c>
      <c r="C22" s="157">
        <f>'[3]4'!C22</f>
        <v>12296</v>
      </c>
      <c r="D22" s="157">
        <f>'[3]4'!D22</f>
        <v>3528</v>
      </c>
      <c r="E22" s="158">
        <f>'[3]4'!E22</f>
        <v>0.28699999999999998</v>
      </c>
      <c r="F22" s="17" t="s">
        <v>76</v>
      </c>
      <c r="K22" s="2"/>
    </row>
    <row r="23" spans="1:11" x14ac:dyDescent="0.2">
      <c r="A23" t="str">
        <f t="shared" si="0"/>
        <v>1990</v>
      </c>
      <c r="C23" s="157">
        <f>'[3]4'!C23</f>
        <v>335</v>
      </c>
      <c r="D23" s="157">
        <f>'[3]4'!D23</f>
        <v>225</v>
      </c>
      <c r="E23" s="158">
        <f>'[3]4'!E23</f>
        <v>0.67200000000000004</v>
      </c>
      <c r="F23" s="17"/>
      <c r="K23" s="2"/>
    </row>
    <row r="24" spans="1:11" x14ac:dyDescent="0.2">
      <c r="A24" t="str">
        <f t="shared" si="0"/>
        <v>1991</v>
      </c>
      <c r="C24" s="157">
        <f>'[3]4'!C24</f>
        <v>1217</v>
      </c>
      <c r="D24" s="157">
        <f>'[3]4'!D24</f>
        <v>729</v>
      </c>
      <c r="E24" s="158">
        <f>'[3]4'!E24</f>
        <v>0.59899999999999998</v>
      </c>
      <c r="F24" s="17"/>
      <c r="K24" s="2"/>
    </row>
    <row r="25" spans="1:11" x14ac:dyDescent="0.2">
      <c r="A25" t="str">
        <f t="shared" si="0"/>
        <v>1992</v>
      </c>
      <c r="C25" s="157">
        <f>'[3]4'!C25</f>
        <v>489</v>
      </c>
      <c r="D25" s="157">
        <f>'[3]4'!D25</f>
        <v>554</v>
      </c>
      <c r="E25" s="158">
        <f>'[3]4'!E25</f>
        <v>1.133</v>
      </c>
      <c r="F25" s="17"/>
      <c r="K25" s="2"/>
    </row>
    <row r="26" spans="1:11" x14ac:dyDescent="0.2">
      <c r="A26" t="str">
        <f t="shared" si="0"/>
        <v>1993</v>
      </c>
      <c r="C26" s="157">
        <f>'[3]4'!C26</f>
        <v>3375</v>
      </c>
      <c r="D26" s="157">
        <f>'[3]4'!D26</f>
        <v>1375</v>
      </c>
      <c r="E26" s="158">
        <f>'[3]4'!E26</f>
        <v>0.40699999999999997</v>
      </c>
      <c r="F26" s="17"/>
      <c r="K26" s="2"/>
    </row>
    <row r="27" spans="1:11" x14ac:dyDescent="0.2">
      <c r="A27" t="str">
        <f t="shared" si="0"/>
        <v>1994</v>
      </c>
      <c r="C27" s="157">
        <f>'[3]4'!C27</f>
        <v>679</v>
      </c>
      <c r="D27" s="157">
        <f>'[3]4'!D27</f>
        <v>507</v>
      </c>
      <c r="E27" s="158">
        <f>'[3]4'!E27</f>
        <v>0.747</v>
      </c>
      <c r="F27" s="17"/>
      <c r="K27" s="2"/>
    </row>
    <row r="28" spans="1:11" x14ac:dyDescent="0.2">
      <c r="A28" t="str">
        <f t="shared" si="0"/>
        <v>1995</v>
      </c>
      <c r="C28" s="157">
        <f>'[3]4'!C28</f>
        <v>2977</v>
      </c>
      <c r="D28" s="157">
        <f>'[3]4'!D28</f>
        <v>903</v>
      </c>
      <c r="E28" s="158">
        <f>'[3]4'!E28</f>
        <v>0.30299999999999999</v>
      </c>
      <c r="F28" s="17"/>
      <c r="K28" s="2"/>
    </row>
    <row r="29" spans="1:11" x14ac:dyDescent="0.2">
      <c r="A29" t="str">
        <f t="shared" si="0"/>
        <v>1996</v>
      </c>
      <c r="C29" s="157">
        <f>'[3]4'!C29</f>
        <v>1166</v>
      </c>
      <c r="D29" s="157">
        <f>'[3]4'!D29</f>
        <v>582</v>
      </c>
      <c r="E29" s="158">
        <f>'[3]4'!E29</f>
        <v>0.499</v>
      </c>
      <c r="F29" s="17"/>
      <c r="K29" s="2"/>
    </row>
    <row r="30" spans="1:11" x14ac:dyDescent="0.2">
      <c r="A30" t="str">
        <f t="shared" si="0"/>
        <v>1997</v>
      </c>
      <c r="B30" s="12"/>
      <c r="C30" s="157">
        <f>'[3]4'!C30</f>
        <v>2964</v>
      </c>
      <c r="D30" s="157">
        <f>'[3]4'!D30</f>
        <v>1343</v>
      </c>
      <c r="E30" s="158">
        <f>'[3]4'!E30</f>
        <v>0.45300000000000001</v>
      </c>
      <c r="F30" s="17"/>
      <c r="K30" s="2"/>
    </row>
    <row r="31" spans="1:11" x14ac:dyDescent="0.2">
      <c r="A31" t="str">
        <f t="shared" si="0"/>
        <v>1998</v>
      </c>
      <c r="B31" s="12"/>
      <c r="C31" s="157">
        <f>'[3]4'!C31</f>
        <v>22401</v>
      </c>
      <c r="D31" s="157">
        <f>'[3]4'!D31</f>
        <v>4732</v>
      </c>
      <c r="E31" s="158">
        <f>'[3]4'!E31</f>
        <v>0.21099999999999999</v>
      </c>
      <c r="F31" s="17"/>
      <c r="K31" s="2"/>
    </row>
    <row r="32" spans="1:11" x14ac:dyDescent="0.2">
      <c r="A32" t="str">
        <f t="shared" si="0"/>
        <v>1999</v>
      </c>
      <c r="B32" s="12"/>
      <c r="C32" s="157">
        <f>'[3]4'!C32</f>
        <v>8773</v>
      </c>
      <c r="D32" s="157">
        <f>'[3]4'!D32</f>
        <v>2388</v>
      </c>
      <c r="E32" s="158">
        <f>'[3]4'!E32</f>
        <v>0.27200000000000002</v>
      </c>
      <c r="F32" s="17" t="s">
        <v>76</v>
      </c>
      <c r="K32" s="2"/>
    </row>
    <row r="33" spans="1:13" x14ac:dyDescent="0.2">
      <c r="A33" t="str">
        <f t="shared" si="0"/>
        <v>2000</v>
      </c>
      <c r="C33" s="157">
        <f>'[3]4'!C33</f>
        <v>6227</v>
      </c>
      <c r="D33" s="157">
        <f>'[3]4'!D33</f>
        <v>1885</v>
      </c>
      <c r="E33" s="158">
        <f>'[3]4'!E33</f>
        <v>0.30299999999999999</v>
      </c>
      <c r="F33" s="17"/>
      <c r="K33" s="2"/>
    </row>
    <row r="34" spans="1:13" x14ac:dyDescent="0.2">
      <c r="A34" t="str">
        <f t="shared" si="0"/>
        <v>2001</v>
      </c>
      <c r="C34" s="157">
        <f>'[3]4'!C34</f>
        <v>24605</v>
      </c>
      <c r="D34" s="157">
        <f>'[3]4'!D34</f>
        <v>1880</v>
      </c>
      <c r="E34" s="158">
        <f>'[3]4'!E34</f>
        <v>7.5999999999999998E-2</v>
      </c>
      <c r="F34" s="17"/>
      <c r="K34" s="2"/>
    </row>
    <row r="35" spans="1:13" x14ac:dyDescent="0.2">
      <c r="A35" t="str">
        <f t="shared" si="0"/>
        <v>2002</v>
      </c>
      <c r="C35" s="157">
        <f>'[3]4'!C35</f>
        <v>5167</v>
      </c>
      <c r="D35" s="157">
        <f>'[3]4'!D35</f>
        <v>5226</v>
      </c>
      <c r="E35" s="158">
        <f>'[3]4'!E35</f>
        <v>1.0109999999999999</v>
      </c>
      <c r="F35" s="17"/>
      <c r="K35" s="2"/>
    </row>
    <row r="36" spans="1:13" x14ac:dyDescent="0.2">
      <c r="A36" t="str">
        <f t="shared" si="0"/>
        <v>2003</v>
      </c>
      <c r="C36" s="157">
        <f>'[3]4'!C36</f>
        <v>155001</v>
      </c>
      <c r="D36" s="157">
        <f>'[3]4'!D36</f>
        <v>5122</v>
      </c>
      <c r="E36" s="158">
        <f>'[3]4'!E36</f>
        <v>3.3000000000000002E-2</v>
      </c>
      <c r="F36" s="17" t="s">
        <v>76</v>
      </c>
      <c r="K36" s="2"/>
    </row>
    <row r="37" spans="1:13" x14ac:dyDescent="0.2">
      <c r="A37" t="str">
        <f t="shared" si="0"/>
        <v>2004</v>
      </c>
      <c r="C37" s="157">
        <f>'[3]4'!C37</f>
        <v>5167</v>
      </c>
      <c r="D37" s="157">
        <f>'[3]4'!D37</f>
        <v>1471</v>
      </c>
      <c r="E37" s="158">
        <f>'[3]4'!E37</f>
        <v>0.28499999999999998</v>
      </c>
      <c r="F37" s="17"/>
      <c r="K37" s="2"/>
      <c r="L37" s="37"/>
    </row>
    <row r="38" spans="1:13" x14ac:dyDescent="0.2">
      <c r="A38" t="str">
        <f t="shared" si="0"/>
        <v>2005</v>
      </c>
      <c r="C38" s="157">
        <f>'[3]4'!C38</f>
        <v>154981</v>
      </c>
      <c r="D38" s="157">
        <f>'[3]4'!D38</f>
        <v>20235</v>
      </c>
      <c r="E38" s="158">
        <f>'[3]4'!E38</f>
        <v>0.13100000000000001</v>
      </c>
      <c r="F38" s="17" t="s">
        <v>76</v>
      </c>
      <c r="K38" s="2"/>
    </row>
    <row r="39" spans="1:13" x14ac:dyDescent="0.2">
      <c r="A39" t="str">
        <f t="shared" si="0"/>
        <v>2006</v>
      </c>
      <c r="C39" s="157">
        <f>'[3]4'!C39</f>
        <v>4276</v>
      </c>
      <c r="D39" s="157">
        <f>'[3]4'!D39</f>
        <v>1110</v>
      </c>
      <c r="E39" s="158">
        <f>'[3]4'!E39</f>
        <v>0.26</v>
      </c>
      <c r="F39" s="17"/>
      <c r="K39" s="2"/>
    </row>
    <row r="40" spans="1:13" x14ac:dyDescent="0.2">
      <c r="A40" t="str">
        <f t="shared" si="0"/>
        <v>2007</v>
      </c>
      <c r="C40" s="157">
        <f>'[3]4'!C40</f>
        <v>15745</v>
      </c>
      <c r="D40" s="157">
        <f>'[3]4'!D40</f>
        <v>4941</v>
      </c>
      <c r="E40" s="158">
        <f>'[3]4'!E40</f>
        <v>0.314</v>
      </c>
      <c r="F40" s="17" t="s">
        <v>76</v>
      </c>
      <c r="K40" s="2"/>
    </row>
    <row r="41" spans="1:13" x14ac:dyDescent="0.2">
      <c r="A41" t="str">
        <f t="shared" si="0"/>
        <v>2008</v>
      </c>
      <c r="B41" s="12"/>
      <c r="C41" s="157">
        <f>'[3]4'!C41</f>
        <v>2583017</v>
      </c>
      <c r="D41" s="157">
        <f>'[3]4'!D41</f>
        <v>346615</v>
      </c>
      <c r="E41" s="158">
        <f>'[3]4'!E41</f>
        <v>0.13400000000000001</v>
      </c>
      <c r="F41" s="31" t="s">
        <v>76</v>
      </c>
      <c r="K41" s="2"/>
    </row>
    <row r="42" spans="1:13" x14ac:dyDescent="0.2">
      <c r="A42" t="str">
        <f t="shared" si="0"/>
        <v>2009</v>
      </c>
      <c r="B42" s="12"/>
      <c r="C42" s="157">
        <f>'[3]4'!C42</f>
        <v>10407</v>
      </c>
      <c r="D42" s="157">
        <f>'[3]4'!D42</f>
        <v>2219</v>
      </c>
      <c r="E42" s="158">
        <f>'[3]4'!E42</f>
        <v>0.21299999999999999</v>
      </c>
      <c r="F42" s="17"/>
      <c r="K42" s="2"/>
    </row>
    <row r="43" spans="1:13" x14ac:dyDescent="0.2">
      <c r="A43" t="str">
        <f t="shared" si="0"/>
        <v>2010</v>
      </c>
      <c r="B43" s="12"/>
      <c r="C43" s="157">
        <f>'[3]4'!C43</f>
        <v>18005</v>
      </c>
      <c r="D43" s="157">
        <f>'[3]4'!D43</f>
        <v>4274</v>
      </c>
      <c r="E43" s="158">
        <f>'[3]4'!E43</f>
        <v>0.23699999999999999</v>
      </c>
      <c r="F43" s="31"/>
      <c r="K43" s="2"/>
    </row>
    <row r="44" spans="1:13" x14ac:dyDescent="0.2">
      <c r="A44" t="str">
        <f t="shared" si="0"/>
        <v>2011</v>
      </c>
      <c r="B44" s="12"/>
      <c r="C44" s="157">
        <f>'[3]4'!C44</f>
        <v>96073</v>
      </c>
      <c r="D44" s="157">
        <f>'[3]4'!D44</f>
        <v>15108</v>
      </c>
      <c r="E44" s="158">
        <f>'[3]4'!E44</f>
        <v>0.157</v>
      </c>
      <c r="F44" s="31"/>
      <c r="K44" s="2"/>
    </row>
    <row r="45" spans="1:13" x14ac:dyDescent="0.2">
      <c r="A45" t="str">
        <f t="shared" si="0"/>
        <v>2012</v>
      </c>
      <c r="B45" s="12"/>
      <c r="C45" s="157">
        <f>'[3]4'!C45</f>
        <v>67492</v>
      </c>
      <c r="D45" s="157">
        <f>'[3]4'!D45</f>
        <v>15833</v>
      </c>
      <c r="E45" s="158">
        <f>'[3]4'!E45</f>
        <v>0.23499999999999999</v>
      </c>
      <c r="F45" s="31"/>
      <c r="K45" s="2"/>
    </row>
    <row r="46" spans="1:13" x14ac:dyDescent="0.2">
      <c r="A46" t="str">
        <f t="shared" si="0"/>
        <v>2013</v>
      </c>
      <c r="B46" s="12"/>
      <c r="C46" s="157">
        <f>'[3]4'!C46</f>
        <v>70835</v>
      </c>
      <c r="D46" s="157">
        <f>'[3]4'!D46</f>
        <v>13829</v>
      </c>
      <c r="E46" s="158">
        <f>'[3]4'!E46</f>
        <v>0.19500000000000001</v>
      </c>
      <c r="F46" s="31"/>
      <c r="K46" s="2"/>
    </row>
    <row r="47" spans="1:13" x14ac:dyDescent="0.2">
      <c r="A47" t="str">
        <f t="shared" si="0"/>
        <v>2014</v>
      </c>
      <c r="B47" s="12"/>
      <c r="C47" s="157">
        <f>'[3]4'!C47</f>
        <v>7871</v>
      </c>
      <c r="D47" s="157">
        <f>'[3]4'!D47</f>
        <v>6928</v>
      </c>
      <c r="E47" s="158">
        <f>'[3]4'!E47</f>
        <v>0.88</v>
      </c>
      <c r="F47" s="31"/>
      <c r="K47" s="2"/>
    </row>
    <row r="48" spans="1:13" x14ac:dyDescent="0.2">
      <c r="A48" t="str">
        <f t="shared" si="0"/>
        <v>2015</v>
      </c>
      <c r="B48" s="12"/>
      <c r="C48" s="157">
        <f>'[3]4'!C48</f>
        <v>138836</v>
      </c>
      <c r="D48" s="157">
        <f>'[3]4'!D48</f>
        <v>40141</v>
      </c>
      <c r="E48" s="158">
        <f>'[3]4'!E48</f>
        <v>0.28899999999999998</v>
      </c>
      <c r="F48" s="31"/>
      <c r="K48" s="2"/>
      <c r="L48" s="37"/>
      <c r="M48" s="37"/>
    </row>
    <row r="49" spans="1:13" x14ac:dyDescent="0.2">
      <c r="A49" t="str">
        <f t="shared" si="0"/>
        <v>2016</v>
      </c>
      <c r="B49" s="12"/>
      <c r="C49" s="157">
        <f>'[3]4'!C49</f>
        <v>28422</v>
      </c>
      <c r="D49" s="157">
        <f>'[3]4'!D49</f>
        <v>15387</v>
      </c>
      <c r="E49" s="158">
        <f>'[3]4'!E49</f>
        <v>0.54100000000000004</v>
      </c>
      <c r="F49" s="31"/>
      <c r="K49" s="2"/>
      <c r="L49" s="37"/>
      <c r="M49" s="37"/>
    </row>
    <row r="50" spans="1:13" x14ac:dyDescent="0.2">
      <c r="A50" t="str">
        <f t="shared" si="0"/>
        <v>2017</v>
      </c>
      <c r="B50" s="12"/>
      <c r="C50" s="157">
        <f>'[3]4'!C50</f>
        <v>1410332</v>
      </c>
      <c r="D50" s="157">
        <f>'[3]4'!D50</f>
        <v>278430</v>
      </c>
      <c r="E50" s="158">
        <f>'[3]4'!E50</f>
        <v>0.19700000000000001</v>
      </c>
      <c r="F50" s="31" t="s">
        <v>76</v>
      </c>
      <c r="K50" s="2"/>
    </row>
    <row r="51" spans="1:13" x14ac:dyDescent="0.2">
      <c r="A51" t="str">
        <f t="shared" si="0"/>
        <v>2018</v>
      </c>
      <c r="B51" s="12"/>
      <c r="C51" s="157">
        <f>'[3]4'!C51</f>
        <v>12107</v>
      </c>
      <c r="D51" s="157">
        <f>'[3]4'!D51</f>
        <v>6802</v>
      </c>
      <c r="E51" s="158">
        <f>'[3]4'!E51</f>
        <v>0.56200000000000006</v>
      </c>
      <c r="F51" s="31"/>
      <c r="K51" s="2"/>
    </row>
    <row r="52" spans="1:13" x14ac:dyDescent="0.2">
      <c r="A52" t="str">
        <f t="shared" si="0"/>
        <v>2019</v>
      </c>
      <c r="B52" s="12"/>
      <c r="C52" s="157">
        <f>'[3]4'!C52</f>
        <v>17832</v>
      </c>
      <c r="D52" s="157">
        <f>'[3]4'!D52</f>
        <v>9429</v>
      </c>
      <c r="E52" s="158">
        <f>'[3]4'!E52</f>
        <v>0.52900000000000003</v>
      </c>
      <c r="F52" s="31"/>
      <c r="K52" s="2"/>
    </row>
    <row r="53" spans="1:13" x14ac:dyDescent="0.2">
      <c r="A53" t="str">
        <f t="shared" si="0"/>
        <v>2020</v>
      </c>
      <c r="B53" s="12"/>
      <c r="C53" s="157">
        <f>'[3]4'!C53</f>
        <v>65043</v>
      </c>
      <c r="D53" s="157">
        <f>'[3]4'!D53</f>
        <v>30047</v>
      </c>
      <c r="E53" s="158">
        <f>'[3]4'!E53</f>
        <v>0.46200000000000002</v>
      </c>
      <c r="F53" s="31" t="s">
        <v>76</v>
      </c>
      <c r="K53" s="2"/>
    </row>
    <row r="54" spans="1:13" x14ac:dyDescent="0.2">
      <c r="A54" t="str">
        <f t="shared" si="0"/>
        <v>2021</v>
      </c>
      <c r="B54" s="12"/>
      <c r="C54" s="157">
        <f>'[3]4'!C54</f>
        <v>67732</v>
      </c>
      <c r="D54" s="157">
        <f>'[3]4'!D54</f>
        <v>28881</v>
      </c>
      <c r="E54" s="158">
        <f>'[3]4'!E54</f>
        <v>0.42599999999999999</v>
      </c>
      <c r="F54" s="31" t="s">
        <v>76</v>
      </c>
      <c r="K54" s="2"/>
    </row>
    <row r="55" spans="1:13" x14ac:dyDescent="0.2">
      <c r="A55" t="str">
        <f t="shared" si="0"/>
        <v>2022</v>
      </c>
      <c r="B55" s="12"/>
      <c r="C55" s="157">
        <f>'[3]4'!C55</f>
        <v>30224</v>
      </c>
      <c r="D55" s="157">
        <f>'[3]4'!D55</f>
        <v>12361</v>
      </c>
      <c r="E55" s="158">
        <f>'[3]4'!E55</f>
        <v>0.40899999999999997</v>
      </c>
      <c r="F55" s="31"/>
      <c r="K55" s="2"/>
    </row>
    <row r="56" spans="1:13" ht="12" thickBot="1" x14ac:dyDescent="0.25">
      <c r="A56" s="6" t="str">
        <f t="shared" si="0"/>
        <v>2023</v>
      </c>
      <c r="B56" s="186"/>
      <c r="C56" s="163">
        <f>'[3]4'!C56</f>
        <v>76706</v>
      </c>
      <c r="D56" s="163">
        <f>'[3]4'!D56</f>
        <v>22433</v>
      </c>
      <c r="E56" s="164">
        <f>'[3]4'!E56</f>
        <v>0.29199999999999998</v>
      </c>
      <c r="F56" s="187"/>
      <c r="K56" s="2"/>
    </row>
    <row r="57" spans="1:13" ht="12" thickTop="1" x14ac:dyDescent="0.2">
      <c r="K57" s="2"/>
    </row>
    <row r="58" spans="1:13" x14ac:dyDescent="0.2">
      <c r="A58" t="s">
        <v>78</v>
      </c>
      <c r="C58" s="19">
        <f>SUM(C13:C57)</f>
        <v>5299442</v>
      </c>
      <c r="D58" s="19">
        <f>SUM(D13:D57)</f>
        <v>921545</v>
      </c>
      <c r="E58" s="32">
        <f>ROUND(D58/C58,3)</f>
        <v>0.17399999999999999</v>
      </c>
      <c r="F58" s="19"/>
      <c r="K58" s="2"/>
    </row>
    <row r="59" spans="1:13" x14ac:dyDescent="0.2">
      <c r="K59" s="2"/>
    </row>
    <row r="60" spans="1:13" x14ac:dyDescent="0.2">
      <c r="A60" t="s">
        <v>77</v>
      </c>
      <c r="C60" s="19">
        <f>SUMIF($F$13:$F$57,"H",C$13:C$57)</f>
        <v>4635711</v>
      </c>
      <c r="D60" s="19">
        <f>SUMIF($F$13:$F$57,"H",D$13:D$57)</f>
        <v>731137</v>
      </c>
      <c r="E60" s="32">
        <f>ROUND(D60/C60,3)</f>
        <v>0.158</v>
      </c>
      <c r="K60" s="2"/>
    </row>
    <row r="61" spans="1:13" x14ac:dyDescent="0.2">
      <c r="K61" s="2"/>
    </row>
    <row r="62" spans="1:13" x14ac:dyDescent="0.2">
      <c r="A62" t="s">
        <v>79</v>
      </c>
      <c r="K62" s="2"/>
    </row>
    <row r="63" spans="1:13" x14ac:dyDescent="0.2">
      <c r="B63" t="s">
        <v>9</v>
      </c>
      <c r="C63" s="19">
        <f>C58-C60</f>
        <v>663731</v>
      </c>
      <c r="D63" s="19">
        <f>D58-D60</f>
        <v>190408</v>
      </c>
      <c r="E63" s="32">
        <f>ROUND(D63/C63,3)</f>
        <v>0.28699999999999998</v>
      </c>
      <c r="K63" s="2"/>
    </row>
    <row r="64" spans="1:13" x14ac:dyDescent="0.2">
      <c r="B64" t="s">
        <v>80</v>
      </c>
      <c r="C64" s="19">
        <f>SUMIF($F$44:$F$56,"&lt;&gt;H",C$44:C$56)</f>
        <v>546398</v>
      </c>
      <c r="D64" s="19">
        <f>SUMIF($F$44:$F$56,"&lt;&gt;H",D$44:D$56)</f>
        <v>158251</v>
      </c>
      <c r="E64" s="32">
        <f>ROUND(D64/C64,3)</f>
        <v>0.28999999999999998</v>
      </c>
      <c r="K64" s="2"/>
    </row>
    <row r="65" spans="1:11" ht="12" thickBot="1" x14ac:dyDescent="0.25">
      <c r="A65" s="6"/>
      <c r="B65" s="6"/>
      <c r="C65" s="6"/>
      <c r="D65" s="6"/>
      <c r="E65" s="6"/>
      <c r="F65" s="6"/>
      <c r="K65" s="2"/>
    </row>
    <row r="66" spans="1:11" ht="12" thickTop="1" x14ac:dyDescent="0.2">
      <c r="K66" s="2"/>
    </row>
    <row r="67" spans="1:11" x14ac:dyDescent="0.2">
      <c r="A67" t="s">
        <v>17</v>
      </c>
      <c r="K67" s="2"/>
    </row>
    <row r="68" spans="1:11" x14ac:dyDescent="0.2">
      <c r="B68" s="157" t="str">
        <f>'[3]4'!B68</f>
        <v>(2) - (3) 2014 - 2023: from most recent TWIA annual statement; 1980 - 2013: from prior TWIA annual statements</v>
      </c>
      <c r="D68" s="12"/>
      <c r="K68" s="2"/>
    </row>
    <row r="69" spans="1:11" x14ac:dyDescent="0.2">
      <c r="B69" s="157" t="str">
        <f>'[3]4'!B69</f>
        <v>(4) = (3) / (2)</v>
      </c>
      <c r="K69" s="2"/>
    </row>
    <row r="70" spans="1:11" ht="12" thickBot="1" x14ac:dyDescent="0.25">
      <c r="B70" s="157" t="str">
        <f>'[3]4'!B70</f>
        <v>(5) "H" indicates hurricane year</v>
      </c>
      <c r="K70" s="2"/>
    </row>
    <row r="71" spans="1:11" hidden="1" x14ac:dyDescent="0.2"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tabColor rgb="FF00FF00"/>
  </sheetPr>
  <dimension ref="A1:I45"/>
  <sheetViews>
    <sheetView showGridLines="0" workbookViewId="0"/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88</v>
      </c>
      <c r="I1" s="1"/>
    </row>
    <row r="2" spans="1:9" x14ac:dyDescent="0.2">
      <c r="A2" s="8" t="str">
        <f>'1'!$A$2</f>
        <v>Residential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87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C9" s="12" t="s">
        <v>13</v>
      </c>
      <c r="E9" t="s">
        <v>13</v>
      </c>
      <c r="I9" s="2"/>
    </row>
    <row r="10" spans="1:9" x14ac:dyDescent="0.2">
      <c r="C10" t="s">
        <v>40</v>
      </c>
      <c r="D10" t="s">
        <v>35</v>
      </c>
      <c r="E10" t="s">
        <v>11</v>
      </c>
      <c r="I10" s="2"/>
    </row>
    <row r="11" spans="1:9" x14ac:dyDescent="0.2">
      <c r="A11" s="9" t="s">
        <v>89</v>
      </c>
      <c r="B11" s="9"/>
      <c r="C11" s="9" t="s">
        <v>12</v>
      </c>
      <c r="D11" s="9" t="s">
        <v>36</v>
      </c>
      <c r="E11" s="9" t="s">
        <v>12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256</v>
      </c>
      <c r="C14" s="22">
        <f ca="1">'6.1'!E37</f>
        <v>0.33</v>
      </c>
      <c r="D14" s="40">
        <f>'4'!$E$60</f>
        <v>0.158</v>
      </c>
      <c r="E14" s="18">
        <f ca="1">ROUND(C14*(1+D14),3)</f>
        <v>0.38200000000000001</v>
      </c>
      <c r="F14" s="38"/>
      <c r="G14" s="38"/>
      <c r="H14" s="39"/>
      <c r="I14" s="2"/>
    </row>
    <row r="15" spans="1:9" x14ac:dyDescent="0.2">
      <c r="C15" s="22"/>
      <c r="D15" s="22"/>
      <c r="E15" s="22"/>
      <c r="F15" s="38"/>
      <c r="G15" s="38"/>
      <c r="H15" s="39"/>
      <c r="I15" s="2"/>
    </row>
    <row r="16" spans="1:9" x14ac:dyDescent="0.2">
      <c r="A16" s="10" t="s">
        <v>90</v>
      </c>
      <c r="C16" s="22"/>
      <c r="D16" s="22"/>
      <c r="E16" s="22"/>
      <c r="F16" s="38"/>
      <c r="G16" s="38"/>
      <c r="H16" s="39"/>
      <c r="I16" s="2"/>
    </row>
    <row r="17" spans="1:9" x14ac:dyDescent="0.2">
      <c r="B17" t="s">
        <v>420</v>
      </c>
      <c r="C17" s="22">
        <f>'7.1'!$E$34</f>
        <v>0.47799999999999998</v>
      </c>
      <c r="D17" s="40">
        <f>D$14</f>
        <v>0.158</v>
      </c>
      <c r="E17" s="18">
        <f>ROUND(C17*(1+D17),3)</f>
        <v>0.55400000000000005</v>
      </c>
      <c r="I17" s="2"/>
    </row>
    <row r="18" spans="1:9" x14ac:dyDescent="0.2">
      <c r="B18" t="s">
        <v>412</v>
      </c>
      <c r="C18" s="22">
        <f>'7.2'!$E$34</f>
        <v>0.42299999999999999</v>
      </c>
      <c r="D18" s="40">
        <f>D$14</f>
        <v>0.158</v>
      </c>
      <c r="E18" s="18">
        <f>ROUND(C18*(1+D18),3)</f>
        <v>0.49</v>
      </c>
      <c r="I18" s="2"/>
    </row>
    <row r="19" spans="1:9" x14ac:dyDescent="0.2">
      <c r="B19" t="s">
        <v>414</v>
      </c>
      <c r="C19" s="22">
        <f>'7.3'!$E$34</f>
        <v>0.39100000000000001</v>
      </c>
      <c r="D19" s="40">
        <f t="shared" ref="D19:D20" si="0">D$14</f>
        <v>0.158</v>
      </c>
      <c r="E19" s="18">
        <f t="shared" ref="E19:E20" si="1">ROUND(C19*(1+D19),3)</f>
        <v>0.45300000000000001</v>
      </c>
      <c r="I19" s="2"/>
    </row>
    <row r="20" spans="1:9" x14ac:dyDescent="0.2">
      <c r="B20" t="s">
        <v>453</v>
      </c>
      <c r="C20" s="22">
        <f>'7.4'!$E$34</f>
        <v>0.36799999999999999</v>
      </c>
      <c r="D20" s="40">
        <f t="shared" si="0"/>
        <v>0.158</v>
      </c>
      <c r="E20" s="18">
        <f t="shared" si="1"/>
        <v>0.42599999999999999</v>
      </c>
      <c r="I20" s="2"/>
    </row>
    <row r="21" spans="1:9" x14ac:dyDescent="0.2">
      <c r="I21" s="2"/>
    </row>
    <row r="22" spans="1:9" x14ac:dyDescent="0.2">
      <c r="B22" t="s">
        <v>91</v>
      </c>
      <c r="C22" s="20">
        <f>ROUND(AVERAGE(C17:C20),3)</f>
        <v>0.41499999999999998</v>
      </c>
      <c r="D22" s="40">
        <f>D$14</f>
        <v>0.158</v>
      </c>
      <c r="E22" s="18">
        <f>ROUND(C22*(1+D22),3)</f>
        <v>0.48099999999999998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12" t="str">
        <f>C12&amp;" "&amp;'6.1'!$J$1&amp;", "&amp;'6.1'!J2&amp;" &amp; "&amp;'7.2'!$K$1&amp;", "&amp;'7.1'!K2&amp; " - "&amp;'7.4'!K2</f>
        <v>(2) Exhibit 6, Sheet 1 &amp; Exhibit 7, Sheet 1 - Sheet 4</v>
      </c>
      <c r="I26" s="2"/>
    </row>
    <row r="27" spans="1:9" x14ac:dyDescent="0.2">
      <c r="B27" s="12" t="str">
        <f>D12&amp;" "&amp;'4'!$J$1</f>
        <v>(3) Exhibit 4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x14ac:dyDescent="0.2">
      <c r="I34" s="2"/>
    </row>
    <row r="35" spans="1:9" x14ac:dyDescent="0.2">
      <c r="I35" s="2"/>
    </row>
    <row r="36" spans="1:9" x14ac:dyDescent="0.2">
      <c r="I36" s="2"/>
    </row>
    <row r="37" spans="1:9" x14ac:dyDescent="0.2">
      <c r="I37" s="2"/>
    </row>
    <row r="38" spans="1:9" x14ac:dyDescent="0.2">
      <c r="I38" s="2"/>
    </row>
    <row r="39" spans="1:9" x14ac:dyDescent="0.2">
      <c r="I39" s="2"/>
    </row>
    <row r="40" spans="1:9" x14ac:dyDescent="0.2">
      <c r="I40" s="2"/>
    </row>
    <row r="41" spans="1:9" x14ac:dyDescent="0.2">
      <c r="I41" s="2"/>
    </row>
    <row r="42" spans="1:9" x14ac:dyDescent="0.2">
      <c r="I42" s="2"/>
    </row>
    <row r="43" spans="1:9" x14ac:dyDescent="0.2">
      <c r="I43" s="2"/>
    </row>
    <row r="44" spans="1:9" ht="12" thickBot="1" x14ac:dyDescent="0.25">
      <c r="I44" s="2"/>
    </row>
    <row r="45" spans="1:9" ht="12" thickBot="1" x14ac:dyDescent="0.25">
      <c r="A45" s="4"/>
      <c r="B45" s="5"/>
      <c r="C45" s="5"/>
      <c r="D45" s="5"/>
      <c r="E45" s="5"/>
      <c r="F45" s="5"/>
      <c r="G45" s="5"/>
      <c r="H45" s="5"/>
      <c r="I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00FF00"/>
  </sheetPr>
  <dimension ref="A1:Q49"/>
  <sheetViews>
    <sheetView showGridLines="0" workbookViewId="0"/>
  </sheetViews>
  <sheetFormatPr defaultColWidth="11.33203125" defaultRowHeight="11.25" x14ac:dyDescent="0.2"/>
  <cols>
    <col min="1" max="1" width="6.1640625" customWidth="1"/>
    <col min="2" max="2" width="11.33203125" customWidth="1"/>
    <col min="3" max="3" width="15.33203125" customWidth="1"/>
    <col min="4" max="4" width="25.1640625" customWidth="1"/>
    <col min="5" max="5" width="15.33203125" customWidth="1"/>
    <col min="6" max="6" width="13.83203125" customWidth="1"/>
    <col min="7" max="7" width="2.6640625" customWidth="1"/>
    <col min="8" max="8" width="10.33203125" customWidth="1"/>
    <col min="9" max="9" width="5.1640625" customWidth="1"/>
    <col min="10" max="10" width="10" customWidth="1"/>
  </cols>
  <sheetData>
    <row r="1" spans="1:17" x14ac:dyDescent="0.2">
      <c r="A1" s="8" t="str">
        <f>'1'!$A$1</f>
        <v>Texas Windstorm Insurance Association</v>
      </c>
      <c r="B1" s="12"/>
      <c r="J1" s="7" t="s">
        <v>92</v>
      </c>
      <c r="K1" s="1"/>
      <c r="P1" t="s">
        <v>369</v>
      </c>
      <c r="Q1" t="s">
        <v>401</v>
      </c>
    </row>
    <row r="2" spans="1:17" x14ac:dyDescent="0.2">
      <c r="A2" s="8" t="str">
        <f>'1'!$A$2</f>
        <v>Residential Property - Wind &amp; Hail</v>
      </c>
      <c r="B2" s="12"/>
      <c r="J2" s="7" t="s">
        <v>21</v>
      </c>
      <c r="K2" s="2"/>
      <c r="P2" t="s">
        <v>369</v>
      </c>
      <c r="Q2" t="s">
        <v>419</v>
      </c>
    </row>
    <row r="3" spans="1:17" x14ac:dyDescent="0.2">
      <c r="A3" s="8" t="str">
        <f>'1'!$A$3</f>
        <v>Rate Level Review</v>
      </c>
      <c r="B3" s="12"/>
      <c r="K3" s="2"/>
      <c r="P3" t="s">
        <v>369</v>
      </c>
      <c r="Q3" t="s">
        <v>402</v>
      </c>
    </row>
    <row r="4" spans="1:17" x14ac:dyDescent="0.2">
      <c r="A4" t="s">
        <v>93</v>
      </c>
      <c r="B4" s="12"/>
      <c r="K4" s="2"/>
    </row>
    <row r="5" spans="1:17" x14ac:dyDescent="0.2">
      <c r="A5" t="str">
        <f>"Hurricane Years Only"</f>
        <v>Hurricane Years Only</v>
      </c>
      <c r="B5" s="12"/>
      <c r="K5" s="2"/>
    </row>
    <row r="6" spans="1:17" x14ac:dyDescent="0.2">
      <c r="K6" s="2"/>
      <c r="L6" s="51"/>
      <c r="M6" s="51"/>
    </row>
    <row r="7" spans="1:17" ht="12" thickBot="1" x14ac:dyDescent="0.25">
      <c r="A7" s="6"/>
      <c r="B7" s="6"/>
      <c r="C7" s="6"/>
      <c r="D7" s="6"/>
      <c r="E7" s="6"/>
      <c r="F7" s="6"/>
      <c r="G7" s="6"/>
      <c r="K7" s="2"/>
    </row>
    <row r="8" spans="1:17" ht="12" thickTop="1" x14ac:dyDescent="0.2">
      <c r="A8" t="s">
        <v>52</v>
      </c>
      <c r="K8" s="2"/>
      <c r="L8" t="s">
        <v>198</v>
      </c>
    </row>
    <row r="9" spans="1:17" x14ac:dyDescent="0.2">
      <c r="A9" t="s">
        <v>53</v>
      </c>
      <c r="C9" s="194" t="s">
        <v>43</v>
      </c>
      <c r="D9" s="11"/>
      <c r="E9" s="11" t="s">
        <v>302</v>
      </c>
      <c r="F9" s="11"/>
      <c r="G9" s="11"/>
      <c r="K9" s="2"/>
      <c r="L9" s="37">
        <f>'6.4'!K$56</f>
        <v>45199</v>
      </c>
    </row>
    <row r="10" spans="1:17" x14ac:dyDescent="0.2">
      <c r="A10" t="s">
        <v>33</v>
      </c>
      <c r="C10" s="11" t="s">
        <v>41</v>
      </c>
      <c r="D10" s="11" t="s">
        <v>300</v>
      </c>
      <c r="E10" s="11" t="s">
        <v>82</v>
      </c>
      <c r="F10" s="11" t="s">
        <v>303</v>
      </c>
      <c r="G10" s="11"/>
      <c r="K10" s="2"/>
    </row>
    <row r="11" spans="1:17" x14ac:dyDescent="0.2">
      <c r="A11" s="9" t="str">
        <f>TEXT(L9,"m/d")</f>
        <v>9/30</v>
      </c>
      <c r="B11" s="9"/>
      <c r="C11" s="125" t="s">
        <v>42</v>
      </c>
      <c r="D11" s="125" t="s">
        <v>301</v>
      </c>
      <c r="E11" s="125" t="s">
        <v>74</v>
      </c>
      <c r="F11" s="125" t="s">
        <v>74</v>
      </c>
      <c r="G11" s="125"/>
      <c r="K11" s="2"/>
    </row>
    <row r="12" spans="1:17" x14ac:dyDescent="0.2">
      <c r="A12" s="13"/>
      <c r="B12" s="13"/>
      <c r="C12" s="11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K12" s="2"/>
    </row>
    <row r="13" spans="1:17" x14ac:dyDescent="0.2">
      <c r="A13" s="57" t="s">
        <v>340</v>
      </c>
      <c r="B13" s="23"/>
      <c r="C13" s="26">
        <f>VLOOKUP($A13,'6.2'!$A$13:$G$71,5,0)</f>
        <v>29244163</v>
      </c>
      <c r="D13" s="143">
        <v>1</v>
      </c>
      <c r="E13" s="42">
        <f>VLOOKUP($A13,'6.2'!$A$13:$G$71,7,0)</f>
        <v>0.38200000000000001</v>
      </c>
      <c r="F13" s="142">
        <f t="shared" ref="F13:F27" ca="1" si="0">MAX(E13-$E$30,0)/D13</f>
        <v>0.28300000000000003</v>
      </c>
      <c r="G13" s="42"/>
      <c r="I13" s="20"/>
      <c r="K13" s="2"/>
    </row>
    <row r="14" spans="1:17" x14ac:dyDescent="0.2">
      <c r="A14" s="57" t="s">
        <v>242</v>
      </c>
      <c r="B14" s="23"/>
      <c r="C14" s="26">
        <f>VLOOKUP($A14,'6.2'!$A$13:$G$71,5,0)</f>
        <v>29832151</v>
      </c>
      <c r="D14" s="143">
        <v>1</v>
      </c>
      <c r="E14" s="42">
        <f>VLOOKUP($A14,'6.2'!$A$13:$G$71,7,0)</f>
        <v>0.69699999999999995</v>
      </c>
      <c r="F14" s="142">
        <f t="shared" ca="1" si="0"/>
        <v>0.59799999999999998</v>
      </c>
      <c r="G14" s="42"/>
      <c r="I14" s="20"/>
      <c r="K14" s="2"/>
    </row>
    <row r="15" spans="1:17" x14ac:dyDescent="0.2">
      <c r="A15" s="57" t="s">
        <v>94</v>
      </c>
      <c r="B15" s="23"/>
      <c r="C15" s="26">
        <f>VLOOKUP($A15,'6.2'!$A$13:$G$71,5,0)</f>
        <v>29729368</v>
      </c>
      <c r="D15" s="143">
        <v>1</v>
      </c>
      <c r="E15" s="42">
        <f>VLOOKUP($A15,'6.2'!$A$13:$G$71,7,0)</f>
        <v>0.76500000000000001</v>
      </c>
      <c r="F15" s="142">
        <f t="shared" ca="1" si="0"/>
        <v>0.66600000000000004</v>
      </c>
      <c r="G15" s="42"/>
      <c r="I15" s="20"/>
      <c r="K15" s="2"/>
    </row>
    <row r="16" spans="1:17" x14ac:dyDescent="0.2">
      <c r="A16" s="57" t="s">
        <v>95</v>
      </c>
      <c r="B16" s="23"/>
      <c r="C16" s="26">
        <f>VLOOKUP($A16,'6.2'!$A$13:$G$71,5,0)</f>
        <v>50494372</v>
      </c>
      <c r="D16" s="143">
        <v>1</v>
      </c>
      <c r="E16" s="42">
        <f>VLOOKUP($A16,'6.2'!$A$13:$G$71,7,0)</f>
        <v>0.748</v>
      </c>
      <c r="F16" s="142">
        <f t="shared" ca="1" si="0"/>
        <v>0.64900000000000002</v>
      </c>
      <c r="G16" s="42"/>
      <c r="I16" s="20"/>
      <c r="K16" s="2"/>
    </row>
    <row r="17" spans="1:11" x14ac:dyDescent="0.2">
      <c r="A17" s="57" t="s">
        <v>96</v>
      </c>
      <c r="B17" s="23"/>
      <c r="C17" s="26">
        <f>VLOOKUP($A17,'6.2'!$A$13:$G$71,5,0)</f>
        <v>64842240.268167496</v>
      </c>
      <c r="D17" s="143">
        <v>1</v>
      </c>
      <c r="E17" s="42">
        <f>VLOOKUP($A17,'6.2'!$A$13:$G$71,7,0)</f>
        <v>5.0940000000000003</v>
      </c>
      <c r="F17" s="142">
        <f t="shared" ca="1" si="0"/>
        <v>4.9950000000000001</v>
      </c>
      <c r="G17" s="42"/>
      <c r="I17" s="20"/>
      <c r="K17" s="2"/>
    </row>
    <row r="18" spans="1:11" x14ac:dyDescent="0.2">
      <c r="A18" s="57" t="s">
        <v>97</v>
      </c>
      <c r="B18" s="23"/>
      <c r="C18" s="26">
        <f>VLOOKUP($A18,'6.2'!$A$13:$G$71,5,0)</f>
        <v>82608316.254789531</v>
      </c>
      <c r="D18" s="143">
        <v>1</v>
      </c>
      <c r="E18" s="42">
        <f>VLOOKUP($A18,'6.2'!$A$13:$G$71,7,0)</f>
        <v>0.111</v>
      </c>
      <c r="F18" s="142">
        <f t="shared" ca="1" si="0"/>
        <v>1.1999999999999997E-2</v>
      </c>
      <c r="G18" s="42"/>
      <c r="I18" s="20"/>
      <c r="K18" s="2"/>
    </row>
    <row r="19" spans="1:11" x14ac:dyDescent="0.2">
      <c r="A19" s="57" t="s">
        <v>98</v>
      </c>
      <c r="B19" s="23"/>
      <c r="C19" s="26">
        <f>VLOOKUP($A19,'6.2'!$A$13:$G$71,5,0)</f>
        <v>99401872.051372439</v>
      </c>
      <c r="D19" s="143">
        <v>2</v>
      </c>
      <c r="E19" s="42">
        <f>VLOOKUP($A19,'6.2'!$A$13:$G$71,7,0)</f>
        <v>7.5999999999999998E-2</v>
      </c>
      <c r="F19" s="142">
        <f t="shared" ca="1" si="0"/>
        <v>0</v>
      </c>
      <c r="G19" s="42"/>
      <c r="I19" s="20"/>
      <c r="K19" s="2"/>
    </row>
    <row r="20" spans="1:11" x14ac:dyDescent="0.2">
      <c r="A20" s="57" t="s">
        <v>99</v>
      </c>
      <c r="B20" s="23"/>
      <c r="C20" s="26">
        <f>VLOOKUP($A20,'6.2'!$A$13:$G$71,5,0)</f>
        <v>183849421.69128454</v>
      </c>
      <c r="D20" s="143">
        <v>1</v>
      </c>
      <c r="E20" s="42">
        <f>VLOOKUP($A20,'6.2'!$A$13:$G$71,7,0)</f>
        <v>8.3000000000000004E-2</v>
      </c>
      <c r="F20" s="142">
        <f t="shared" ca="1" si="0"/>
        <v>0</v>
      </c>
      <c r="G20" s="42"/>
      <c r="I20" s="20"/>
      <c r="K20" s="2"/>
    </row>
    <row r="21" spans="1:11" x14ac:dyDescent="0.2">
      <c r="A21" s="57" t="s">
        <v>254</v>
      </c>
      <c r="B21" s="23"/>
      <c r="C21" s="26">
        <f>VLOOKUP($A21,'6.2'!$A$13:$G$71,5,0)</f>
        <v>237166897.49597096</v>
      </c>
      <c r="D21" s="143">
        <v>1</v>
      </c>
      <c r="E21" s="42">
        <f>VLOOKUP($A21,'6.2'!$A$13:$G$71,7,0)</f>
        <v>0.19500000000000001</v>
      </c>
      <c r="F21" s="142">
        <f t="shared" ca="1" si="0"/>
        <v>9.6000000000000002E-2</v>
      </c>
      <c r="G21" s="42"/>
      <c r="I21" s="20"/>
      <c r="K21" s="2"/>
    </row>
    <row r="22" spans="1:11" x14ac:dyDescent="0.2">
      <c r="A22" s="57" t="s">
        <v>262</v>
      </c>
      <c r="B22" s="23"/>
      <c r="C22" s="26">
        <f>VLOOKUP($A22,'6.2'!$A$13:$G$71,5,0)</f>
        <v>261099035.45153755</v>
      </c>
      <c r="D22" s="143">
        <v>1</v>
      </c>
      <c r="E22" s="42">
        <f>VLOOKUP($A22,'6.2'!$A$13:$G$71,7,0)</f>
        <v>1.093</v>
      </c>
      <c r="F22" s="142">
        <f t="shared" ca="1" si="0"/>
        <v>0.99399999999999999</v>
      </c>
      <c r="G22" s="42"/>
      <c r="I22" s="20"/>
      <c r="K22" s="2"/>
    </row>
    <row r="23" spans="1:11" x14ac:dyDescent="0.2">
      <c r="A23" s="57" t="s">
        <v>273</v>
      </c>
      <c r="B23" s="23"/>
      <c r="C23" s="26">
        <f>VLOOKUP($A23,'6.2'!$A$13:$G$71,5,0)</f>
        <v>403864588.68160832</v>
      </c>
      <c r="D23" s="143">
        <v>1</v>
      </c>
      <c r="E23" s="42">
        <f>VLOOKUP($A23,'6.2'!$A$13:$G$71,7,0)</f>
        <v>4.9000000000000002E-2</v>
      </c>
      <c r="F23" s="142">
        <f t="shared" ca="1" si="0"/>
        <v>0</v>
      </c>
      <c r="G23" s="42"/>
      <c r="I23" s="20"/>
      <c r="K23" s="2"/>
    </row>
    <row r="24" spans="1:11" x14ac:dyDescent="0.2">
      <c r="A24" s="57" t="s">
        <v>274</v>
      </c>
      <c r="B24" s="23"/>
      <c r="C24" s="26">
        <f>VLOOKUP($A24,'6.2'!$A$13:$G$71,5,0)</f>
        <v>501518052.03257847</v>
      </c>
      <c r="D24" s="143">
        <v>2</v>
      </c>
      <c r="E24" s="42">
        <f>VLOOKUP($A24,'6.2'!$A$13:$G$71,7,0)</f>
        <v>4.0860000000000003</v>
      </c>
      <c r="F24" s="142">
        <f t="shared" ca="1" si="0"/>
        <v>1.9935</v>
      </c>
      <c r="G24" s="42"/>
      <c r="I24" s="20"/>
      <c r="K24" s="2"/>
    </row>
    <row r="25" spans="1:11" x14ac:dyDescent="0.2">
      <c r="A25" s="166" t="s">
        <v>400</v>
      </c>
      <c r="B25" s="23"/>
      <c r="C25" s="26">
        <f>VLOOKUP($A25,'6.2'!$A$13:$G$71,5,0)</f>
        <v>587946262.49750006</v>
      </c>
      <c r="D25" s="143">
        <v>1</v>
      </c>
      <c r="E25" s="42">
        <f ca="1">VLOOKUP($A25,'6.2'!$A$13:$G$71,7,0)</f>
        <v>2.0779999999999998</v>
      </c>
      <c r="F25" s="142">
        <f t="shared" ca="1" si="0"/>
        <v>1.9789999999999999</v>
      </c>
      <c r="G25" s="42"/>
      <c r="I25" s="20"/>
      <c r="K25" s="2"/>
    </row>
    <row r="26" spans="1:11" x14ac:dyDescent="0.2">
      <c r="A26" s="166" t="s">
        <v>398</v>
      </c>
      <c r="B26" s="23"/>
      <c r="C26" s="26">
        <f>VLOOKUP($A26,'6.2'!$A$13:$G$71,5,0)</f>
        <v>527999008.65000135</v>
      </c>
      <c r="D26" s="143">
        <v>3</v>
      </c>
      <c r="E26" s="42">
        <f ca="1">VLOOKUP($A26,'6.2'!$A$13:$G$71,7,0)</f>
        <v>0.131131</v>
      </c>
      <c r="F26" s="142">
        <f t="shared" ca="1" si="0"/>
        <v>1.071033333333333E-2</v>
      </c>
      <c r="G26" s="42"/>
      <c r="I26" s="20"/>
      <c r="K26" s="2"/>
    </row>
    <row r="27" spans="1:11" x14ac:dyDescent="0.2">
      <c r="A27" s="206" t="s">
        <v>399</v>
      </c>
      <c r="B27" s="24"/>
      <c r="C27" s="27">
        <f>VLOOKUP($A27,'6.2'!$A$13:$G$71,5,0)</f>
        <v>540678350.80000222</v>
      </c>
      <c r="D27" s="207">
        <v>1</v>
      </c>
      <c r="E27" s="49">
        <f ca="1">VLOOKUP($A27,'6.2'!$A$13:$G$71,7,0)</f>
        <v>0.24622499999999997</v>
      </c>
      <c r="F27" s="208">
        <f t="shared" ca="1" si="0"/>
        <v>0.14722499999999997</v>
      </c>
      <c r="G27" s="9"/>
      <c r="I27" s="20"/>
      <c r="K27" s="2"/>
    </row>
    <row r="28" spans="1:11" x14ac:dyDescent="0.2">
      <c r="A28" s="80" t="s">
        <v>103</v>
      </c>
      <c r="C28" s="31"/>
      <c r="D28" s="31"/>
      <c r="E28" s="42">
        <f ca="1">ROUND(AVERAGE(E13:E27),3)</f>
        <v>1.056</v>
      </c>
      <c r="F28" s="42">
        <f ca="1">ROUND(AVERAGE(F13:F27),3)</f>
        <v>0.82799999999999996</v>
      </c>
      <c r="G28" s="42"/>
      <c r="I28" s="42"/>
      <c r="K28" s="2"/>
    </row>
    <row r="29" spans="1:11" x14ac:dyDescent="0.2">
      <c r="C29" s="31"/>
      <c r="D29" s="31"/>
      <c r="E29" s="31"/>
      <c r="F29" s="31"/>
      <c r="G29" s="20"/>
      <c r="H29" s="20"/>
      <c r="I29" s="20"/>
      <c r="K29" s="2"/>
    </row>
    <row r="30" spans="1:11" x14ac:dyDescent="0.2">
      <c r="A30" s="44" t="s">
        <v>106</v>
      </c>
      <c r="B30" t="s">
        <v>111</v>
      </c>
      <c r="C30" s="31"/>
      <c r="D30" s="31"/>
      <c r="E30" s="42">
        <f ca="1">'6.2'!$G$75</f>
        <v>9.9000000000000005E-2</v>
      </c>
      <c r="F30" s="42"/>
      <c r="K30" s="2"/>
    </row>
    <row r="31" spans="1:11" x14ac:dyDescent="0.2">
      <c r="K31" s="2"/>
    </row>
    <row r="32" spans="1:11" x14ac:dyDescent="0.2">
      <c r="A32" s="44" t="s">
        <v>110</v>
      </c>
      <c r="B32" t="s">
        <v>443</v>
      </c>
      <c r="E32" s="20">
        <f ca="1">F28</f>
        <v>0.82799999999999996</v>
      </c>
      <c r="F32" s="20"/>
      <c r="G32" s="20"/>
      <c r="H32" s="20"/>
      <c r="I32" s="20"/>
      <c r="K32" s="2"/>
    </row>
    <row r="33" spans="1:12" x14ac:dyDescent="0.2">
      <c r="K33" s="2"/>
      <c r="L33" s="51"/>
    </row>
    <row r="34" spans="1:12" x14ac:dyDescent="0.2">
      <c r="A34" s="44" t="s">
        <v>109</v>
      </c>
      <c r="B34" t="s">
        <v>257</v>
      </c>
      <c r="K34" s="2"/>
    </row>
    <row r="35" spans="1:12" x14ac:dyDescent="0.2">
      <c r="B35" t="str">
        <f>'8'!A53&amp;" ("&amp;'8'!C53&amp;")"</f>
        <v>173-Year (1/1/1851 - 12/31/2023)</v>
      </c>
      <c r="E35" s="29">
        <f>'8'!$G$53</f>
        <v>0.39900000000000002</v>
      </c>
      <c r="F35" t="str">
        <f>"(1 Hurricane Every "&amp;TEXT(1/E35,"0.0")&amp;" years)"</f>
        <v>(1 Hurricane Every 2.5 years)</v>
      </c>
      <c r="K35" s="2"/>
    </row>
    <row r="36" spans="1:12" x14ac:dyDescent="0.2">
      <c r="K36" s="2"/>
    </row>
    <row r="37" spans="1:12" ht="12" thickBot="1" x14ac:dyDescent="0.25">
      <c r="A37" s="175" t="s">
        <v>108</v>
      </c>
      <c r="B37" s="6" t="s">
        <v>135</v>
      </c>
      <c r="C37" s="6"/>
      <c r="D37" s="6"/>
      <c r="E37" s="145">
        <f ca="1">ROUND(E35*E32,3)</f>
        <v>0.33</v>
      </c>
      <c r="F37" s="20"/>
      <c r="K37" s="2"/>
    </row>
    <row r="38" spans="1:12" ht="12" thickTop="1" x14ac:dyDescent="0.2">
      <c r="K38" s="2"/>
    </row>
    <row r="39" spans="1:12" x14ac:dyDescent="0.2">
      <c r="A39" t="s">
        <v>17</v>
      </c>
      <c r="E39" s="19"/>
      <c r="K39" s="2"/>
    </row>
    <row r="40" spans="1:12" x14ac:dyDescent="0.2">
      <c r="B40" s="12" t="str">
        <f>C12&amp;" "&amp;'6.2'!$J$1&amp;", "&amp;'6.2'!$J$2&amp;". Accident years ending "&amp;TEXT($L$9,"m/d/xx")</f>
        <v>(1) Exhibit 6, Sheet 2. Accident years ending 9/30/xx</v>
      </c>
      <c r="C40" s="12"/>
      <c r="K40" s="2"/>
    </row>
    <row r="41" spans="1:12" x14ac:dyDescent="0.2">
      <c r="B41" s="12" t="str">
        <f>E12&amp;" "&amp;'6.2'!$J$1&amp;", "&amp;'6.2'!$J$2&amp;". Accident years ending "&amp;TEXT($L$9,"m/d/xx")</f>
        <v>(3) Exhibit 6, Sheet 2. Accident years ending 9/30/xx</v>
      </c>
      <c r="K41" s="2"/>
    </row>
    <row r="42" spans="1:12" x14ac:dyDescent="0.2">
      <c r="B42" t="s">
        <v>341</v>
      </c>
      <c r="K42" s="2"/>
    </row>
    <row r="43" spans="1:12" x14ac:dyDescent="0.2">
      <c r="B43" s="12" t="str">
        <f>A30&amp;" "&amp;'6.2'!$J$1&amp;", "&amp;'6.2'!$J$2</f>
        <v>(5) Exhibit 6, Sheet 2</v>
      </c>
      <c r="K43" s="2"/>
    </row>
    <row r="44" spans="1:12" x14ac:dyDescent="0.2">
      <c r="B44" s="12" t="str">
        <f>A32&amp;" = Average of "&amp;F12&amp;""</f>
        <v>(6) = Average of (4)</v>
      </c>
      <c r="K44" s="2"/>
    </row>
    <row r="45" spans="1:12" x14ac:dyDescent="0.2">
      <c r="B45" s="12" t="str">
        <f>A34&amp;" "&amp;'8'!$J$1</f>
        <v>(7) Exhibit 8</v>
      </c>
      <c r="K45" s="2"/>
    </row>
    <row r="46" spans="1:12" x14ac:dyDescent="0.2">
      <c r="B46" s="12" t="str">
        <f>A37&amp;" = "&amp;A32&amp;" * "&amp;A34</f>
        <v>(8) = (6) * (7)</v>
      </c>
      <c r="K46" s="2"/>
    </row>
    <row r="47" spans="1:12" x14ac:dyDescent="0.2">
      <c r="K47" s="2"/>
    </row>
    <row r="48" spans="1:12" ht="12" thickBot="1" x14ac:dyDescent="0.25">
      <c r="K48" s="2"/>
    </row>
    <row r="49" spans="1:11" ht="12" thickBot="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19 A2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tabColor rgb="FF00FF00"/>
    <pageSetUpPr fitToPage="1"/>
  </sheetPr>
  <dimension ref="A1:M82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92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81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93</v>
      </c>
      <c r="B4" s="12"/>
      <c r="K4" s="2"/>
    </row>
    <row r="5" spans="1:12" x14ac:dyDescent="0.2">
      <c r="A5" t="s">
        <v>449</v>
      </c>
      <c r="B5" s="12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2" ht="11.25" customHeight="1" thickTop="1" x14ac:dyDescent="0.2">
      <c r="A7" t="s">
        <v>52</v>
      </c>
      <c r="K7" s="2"/>
    </row>
    <row r="8" spans="1:12" x14ac:dyDescent="0.2">
      <c r="A8" t="s">
        <v>53</v>
      </c>
      <c r="C8" s="194"/>
      <c r="D8" s="11" t="s">
        <v>112</v>
      </c>
      <c r="E8" s="11" t="s">
        <v>43</v>
      </c>
      <c r="F8" s="11"/>
      <c r="G8" s="11"/>
      <c r="H8" s="11"/>
      <c r="K8" s="2"/>
      <c r="L8" s="17"/>
    </row>
    <row r="9" spans="1:12" x14ac:dyDescent="0.2">
      <c r="A9" t="s">
        <v>33</v>
      </c>
      <c r="C9" s="11" t="s">
        <v>112</v>
      </c>
      <c r="D9" s="11" t="s">
        <v>113</v>
      </c>
      <c r="E9" s="11" t="s">
        <v>41</v>
      </c>
      <c r="F9" s="11" t="s">
        <v>82</v>
      </c>
      <c r="G9" s="11" t="s">
        <v>82</v>
      </c>
      <c r="H9" s="11" t="s">
        <v>6</v>
      </c>
      <c r="K9" s="2"/>
      <c r="L9" s="12"/>
    </row>
    <row r="10" spans="1:12" x14ac:dyDescent="0.2">
      <c r="A10" s="9" t="str">
        <f>TEXT(L47,"m/d")</f>
        <v>9/30</v>
      </c>
      <c r="B10" s="9"/>
      <c r="C10" s="125" t="s">
        <v>113</v>
      </c>
      <c r="D10" s="125" t="s">
        <v>114</v>
      </c>
      <c r="E10" s="125" t="s">
        <v>42</v>
      </c>
      <c r="F10" s="125" t="s">
        <v>104</v>
      </c>
      <c r="G10" s="125" t="s">
        <v>74</v>
      </c>
      <c r="H10" s="125" t="s">
        <v>75</v>
      </c>
      <c r="K10" s="2"/>
      <c r="L10" s="37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1"/>
      <c r="K11" s="2"/>
    </row>
    <row r="12" spans="1:12" x14ac:dyDescent="0.2">
      <c r="A12" s="13"/>
      <c r="B12" s="13"/>
      <c r="C12" s="11"/>
      <c r="D12" s="11"/>
      <c r="E12" s="11"/>
      <c r="F12" s="11"/>
      <c r="G12" s="11"/>
      <c r="H12" s="11"/>
      <c r="I12" s="11"/>
      <c r="K12" s="2"/>
    </row>
    <row r="13" spans="1:12" x14ac:dyDescent="0.2">
      <c r="A13" s="94">
        <v>1966</v>
      </c>
      <c r="B13" s="12"/>
      <c r="D13" s="31">
        <v>13011528</v>
      </c>
      <c r="E13" s="26">
        <f>ROUND(D13*'6.4'!$K$14,0)</f>
        <v>29309032</v>
      </c>
      <c r="F13" s="31">
        <v>1178131</v>
      </c>
      <c r="G13" s="18">
        <f>ROUND(F13/E13,3)</f>
        <v>0.04</v>
      </c>
      <c r="I13" s="20"/>
      <c r="K13" s="2"/>
    </row>
    <row r="14" spans="1:12" x14ac:dyDescent="0.2">
      <c r="A14" t="str">
        <f>TEXT(A13+1,"#")</f>
        <v>1967</v>
      </c>
      <c r="B14" s="12"/>
      <c r="D14" s="31">
        <v>13130860</v>
      </c>
      <c r="E14" s="26">
        <f>ROUND(D14*'6.4'!$K$14,0)</f>
        <v>29577832</v>
      </c>
      <c r="F14" s="31">
        <v>663024</v>
      </c>
      <c r="G14" s="18">
        <f t="shared" ref="G14:G16" si="1">ROUND(F14/E14,3)</f>
        <v>2.1999999999999999E-2</v>
      </c>
      <c r="I14" s="20"/>
      <c r="K14" s="2"/>
    </row>
    <row r="15" spans="1:12" x14ac:dyDescent="0.2">
      <c r="A15" t="str">
        <f t="shared" ref="A15:A16" si="2">TEXT(A14+1,"#")</f>
        <v>1968</v>
      </c>
      <c r="D15" s="31">
        <v>12982730</v>
      </c>
      <c r="E15" s="26">
        <f>ROUND(D15*'6.4'!$K$14,0)</f>
        <v>29244163</v>
      </c>
      <c r="F15" s="31">
        <v>11171683</v>
      </c>
      <c r="G15" s="18">
        <f t="shared" si="1"/>
        <v>0.38200000000000001</v>
      </c>
      <c r="H15" s="112" t="s">
        <v>76</v>
      </c>
      <c r="I15" s="20"/>
      <c r="K15" s="2"/>
    </row>
    <row r="16" spans="1:12" x14ac:dyDescent="0.2">
      <c r="A16" t="str">
        <f t="shared" si="2"/>
        <v>1969</v>
      </c>
      <c r="D16" s="31">
        <v>12499176</v>
      </c>
      <c r="E16" s="26">
        <f>ROUND(D16*'6.4'!$K$14,0)</f>
        <v>28154937</v>
      </c>
      <c r="F16" s="31">
        <v>3218757</v>
      </c>
      <c r="G16" s="18">
        <f t="shared" si="1"/>
        <v>0.114</v>
      </c>
      <c r="H16" s="112"/>
      <c r="I16" s="20"/>
      <c r="K16" s="2"/>
    </row>
    <row r="17" spans="1:13" x14ac:dyDescent="0.2">
      <c r="A17" t="s">
        <v>242</v>
      </c>
      <c r="C17" s="19"/>
      <c r="D17" s="31">
        <v>13243763</v>
      </c>
      <c r="E17" s="26">
        <f>ROUND(D17*'6.4'!$K$14,0)</f>
        <v>29832151</v>
      </c>
      <c r="F17" s="31">
        <v>20786468</v>
      </c>
      <c r="G17" s="22">
        <f t="shared" ref="G17:G25" si="3">ROUND(F17/E17,3)</f>
        <v>0.69699999999999995</v>
      </c>
      <c r="H17" s="112" t="s">
        <v>76</v>
      </c>
      <c r="I17" s="43"/>
      <c r="K17" s="2"/>
    </row>
    <row r="18" spans="1:13" x14ac:dyDescent="0.2">
      <c r="A18" t="str">
        <f t="shared" ref="A18:A70" si="4">TEXT(A17+1,"#")</f>
        <v>1971</v>
      </c>
      <c r="C18" s="108">
        <v>10640335</v>
      </c>
      <c r="D18" s="31">
        <v>13198133</v>
      </c>
      <c r="E18" s="26">
        <f>ROUND(D18*'6.4'!$K$14,0)</f>
        <v>29729368</v>
      </c>
      <c r="F18" s="31">
        <v>22731206</v>
      </c>
      <c r="G18" s="22">
        <f>ROUND(F18/E18,3)</f>
        <v>0.76500000000000001</v>
      </c>
      <c r="H18" s="112" t="s">
        <v>76</v>
      </c>
      <c r="I18" s="20"/>
      <c r="K18" s="2"/>
    </row>
    <row r="19" spans="1:13" x14ac:dyDescent="0.2">
      <c r="A19" t="str">
        <f t="shared" si="4"/>
        <v>1972</v>
      </c>
      <c r="C19" s="108">
        <v>12302040</v>
      </c>
      <c r="D19" s="31">
        <v>13902740</v>
      </c>
      <c r="E19" s="26">
        <f>ROUND(D19*'6.4'!$K$14,0)</f>
        <v>31316526</v>
      </c>
      <c r="F19" s="31">
        <v>2242093</v>
      </c>
      <c r="G19" s="22">
        <f>ROUND(F19/E19,3)</f>
        <v>7.1999999999999995E-2</v>
      </c>
      <c r="H19" s="112"/>
      <c r="I19" s="20"/>
      <c r="K19" s="2"/>
    </row>
    <row r="20" spans="1:13" x14ac:dyDescent="0.2">
      <c r="A20" t="str">
        <f t="shared" si="4"/>
        <v>1973</v>
      </c>
      <c r="B20" s="23"/>
      <c r="C20" s="108">
        <v>12935382</v>
      </c>
      <c r="D20" s="31">
        <v>12724690</v>
      </c>
      <c r="E20" s="26">
        <f>ROUND(D20*'6.4'!$K$14,0)</f>
        <v>28662917</v>
      </c>
      <c r="F20" s="31">
        <v>4933261</v>
      </c>
      <c r="G20" s="22">
        <f t="shared" si="3"/>
        <v>0.17199999999999999</v>
      </c>
      <c r="H20" s="108"/>
      <c r="I20" s="20"/>
      <c r="K20" s="2"/>
      <c r="M20" s="31"/>
    </row>
    <row r="21" spans="1:13" x14ac:dyDescent="0.2">
      <c r="A21" t="str">
        <f t="shared" si="4"/>
        <v>1974</v>
      </c>
      <c r="B21" s="23"/>
      <c r="C21" s="108">
        <v>12794652</v>
      </c>
      <c r="D21" s="31">
        <v>11637700</v>
      </c>
      <c r="E21" s="26">
        <f>ROUND(D21*'6.4'!$K$14,0)</f>
        <v>26214425</v>
      </c>
      <c r="F21" s="31">
        <v>2293219</v>
      </c>
      <c r="G21" s="22">
        <f t="shared" si="3"/>
        <v>8.6999999999999994E-2</v>
      </c>
      <c r="H21" s="108"/>
      <c r="I21" s="20"/>
      <c r="K21" s="2"/>
      <c r="M21" s="31"/>
    </row>
    <row r="22" spans="1:13" x14ac:dyDescent="0.2">
      <c r="A22" t="str">
        <f t="shared" si="4"/>
        <v>1975</v>
      </c>
      <c r="B22" s="23"/>
      <c r="C22" s="108">
        <v>13633616</v>
      </c>
      <c r="D22" s="31">
        <v>12392309</v>
      </c>
      <c r="E22" s="26">
        <f>ROUND(D22*'6.4'!$K$14,0)</f>
        <v>27914214</v>
      </c>
      <c r="F22" s="31">
        <v>3062897</v>
      </c>
      <c r="G22" s="22">
        <f t="shared" si="3"/>
        <v>0.11</v>
      </c>
      <c r="H22" s="108"/>
      <c r="I22" s="20"/>
      <c r="K22" s="2"/>
      <c r="M22" s="31"/>
    </row>
    <row r="23" spans="1:13" x14ac:dyDescent="0.2">
      <c r="A23" t="str">
        <f t="shared" si="4"/>
        <v>1976</v>
      </c>
      <c r="B23" s="23"/>
      <c r="C23" s="108">
        <v>17088846</v>
      </c>
      <c r="D23" s="31">
        <v>13884831</v>
      </c>
      <c r="E23" s="26">
        <f>ROUND(D23*'6.4'!$K$14,0)</f>
        <v>31276185</v>
      </c>
      <c r="F23" s="31">
        <v>1522489</v>
      </c>
      <c r="G23" s="22">
        <f>ROUND(F23/E23,3)</f>
        <v>4.9000000000000002E-2</v>
      </c>
      <c r="H23" s="108"/>
      <c r="I23" s="20"/>
      <c r="K23" s="2"/>
      <c r="M23" s="31"/>
    </row>
    <row r="24" spans="1:13" x14ac:dyDescent="0.2">
      <c r="A24" t="str">
        <f t="shared" si="4"/>
        <v>1977</v>
      </c>
      <c r="B24" s="23"/>
      <c r="C24" s="108">
        <v>23643216</v>
      </c>
      <c r="D24" s="31">
        <v>17474220</v>
      </c>
      <c r="E24" s="26">
        <f>ROUND(D24*'6.4'!$K$14,0)</f>
        <v>39361439</v>
      </c>
      <c r="F24" s="31">
        <v>972383</v>
      </c>
      <c r="G24" s="22">
        <f t="shared" si="3"/>
        <v>2.5000000000000001E-2</v>
      </c>
      <c r="H24" s="108"/>
      <c r="I24" s="20"/>
      <c r="K24" s="2"/>
      <c r="M24" s="31"/>
    </row>
    <row r="25" spans="1:13" x14ac:dyDescent="0.2">
      <c r="A25" t="str">
        <f t="shared" si="4"/>
        <v>1978</v>
      </c>
      <c r="B25" s="23"/>
      <c r="C25" s="108">
        <v>28157329</v>
      </c>
      <c r="D25" s="31">
        <v>19320941</v>
      </c>
      <c r="E25" s="26">
        <f>ROUND(D25*'6.4'!$K$14,0)</f>
        <v>43521259</v>
      </c>
      <c r="F25" s="31">
        <v>1449823</v>
      </c>
      <c r="G25" s="22">
        <f t="shared" si="3"/>
        <v>3.3000000000000002E-2</v>
      </c>
      <c r="H25" s="108"/>
      <c r="I25" s="20"/>
      <c r="K25" s="2"/>
      <c r="M25" s="31"/>
    </row>
    <row r="26" spans="1:13" x14ac:dyDescent="0.2">
      <c r="A26" t="str">
        <f t="shared" si="4"/>
        <v>1979</v>
      </c>
      <c r="B26" s="23"/>
      <c r="C26" s="108">
        <v>32867536</v>
      </c>
      <c r="D26" s="31">
        <v>21563567</v>
      </c>
      <c r="E26" s="26">
        <f>ROUND(D26*'6.4'!$K$14,0)</f>
        <v>48572871</v>
      </c>
      <c r="F26" s="31">
        <v>3940899</v>
      </c>
      <c r="G26" s="22">
        <f>ROUND(F26/E26,3)</f>
        <v>8.1000000000000003E-2</v>
      </c>
      <c r="H26" s="108"/>
      <c r="I26" s="20"/>
      <c r="K26" s="2"/>
      <c r="M26" s="31"/>
    </row>
    <row r="27" spans="1:13" x14ac:dyDescent="0.2">
      <c r="A27" t="str">
        <f t="shared" si="4"/>
        <v>1980</v>
      </c>
      <c r="B27" s="23"/>
      <c r="C27" s="108">
        <v>32179994</v>
      </c>
      <c r="D27" s="31">
        <v>22416603</v>
      </c>
      <c r="E27" s="26">
        <f>ROUND(D27*'6.4'!$K$14,0)</f>
        <v>50494372</v>
      </c>
      <c r="F27" s="31"/>
      <c r="G27" s="102">
        <v>0.748</v>
      </c>
      <c r="H27" s="108" t="s">
        <v>76</v>
      </c>
      <c r="I27" s="20"/>
      <c r="K27" s="2"/>
      <c r="M27" s="31"/>
    </row>
    <row r="28" spans="1:13" x14ac:dyDescent="0.2">
      <c r="A28" t="str">
        <f t="shared" si="4"/>
        <v>1981</v>
      </c>
      <c r="B28" s="23"/>
      <c r="C28" s="108">
        <v>30817037</v>
      </c>
      <c r="D28" s="31">
        <v>29693419</v>
      </c>
      <c r="E28" s="26">
        <f>ROUND(D28*'6.4'!$K$14,0)</f>
        <v>66885716</v>
      </c>
      <c r="F28" s="31"/>
      <c r="G28" s="102">
        <v>3.2000000000000001E-2</v>
      </c>
      <c r="H28" s="108"/>
      <c r="I28" s="20"/>
      <c r="K28" s="2"/>
      <c r="M28" s="31"/>
    </row>
    <row r="29" spans="1:13" x14ac:dyDescent="0.2">
      <c r="A29" s="9" t="str">
        <f t="shared" si="4"/>
        <v>1982</v>
      </c>
      <c r="B29" s="24"/>
      <c r="C29" s="121">
        <v>28140159</v>
      </c>
      <c r="D29" s="46">
        <v>32398474</v>
      </c>
      <c r="E29" s="27">
        <f>ROUND(D29*'6.4'!$K$14,0)</f>
        <v>72978970</v>
      </c>
      <c r="F29" s="46"/>
      <c r="G29" s="122">
        <v>2.3E-2</v>
      </c>
      <c r="H29" s="121"/>
      <c r="I29" s="20"/>
      <c r="K29" s="2"/>
      <c r="M29" s="31"/>
    </row>
    <row r="30" spans="1:13" x14ac:dyDescent="0.2">
      <c r="A30" t="str">
        <f t="shared" si="4"/>
        <v>1983</v>
      </c>
      <c r="C30" s="108">
        <v>28786234</v>
      </c>
      <c r="D30" s="31"/>
      <c r="E30" s="26">
        <f>'6.4'!E14+'6.5'!E14+'6.6'!E14+'6.7'!E14</f>
        <v>64842240.268167496</v>
      </c>
      <c r="F30" s="26"/>
      <c r="G30" s="38">
        <f>'6.3'!H14</f>
        <v>5.0940000000000003</v>
      </c>
      <c r="H30" s="108" t="s">
        <v>76</v>
      </c>
      <c r="I30" s="43"/>
      <c r="K30" s="2"/>
      <c r="M30" s="31"/>
    </row>
    <row r="31" spans="1:13" x14ac:dyDescent="0.2">
      <c r="A31" t="str">
        <f t="shared" si="4"/>
        <v>1984</v>
      </c>
      <c r="C31" s="108">
        <v>20078668</v>
      </c>
      <c r="D31" s="31"/>
      <c r="E31" s="26">
        <f>'6.4'!E15+'6.5'!E15+'6.6'!E15+'6.7'!E15</f>
        <v>45228071.758213416</v>
      </c>
      <c r="F31" s="26"/>
      <c r="G31" s="38">
        <f>'6.3'!H15</f>
        <v>0.14299999999999999</v>
      </c>
      <c r="H31" s="108"/>
      <c r="I31" s="43"/>
      <c r="K31" s="2"/>
      <c r="M31" s="31"/>
    </row>
    <row r="32" spans="1:13" x14ac:dyDescent="0.2">
      <c r="A32" t="str">
        <f t="shared" si="4"/>
        <v>1985</v>
      </c>
      <c r="C32" s="108">
        <v>30043452</v>
      </c>
      <c r="D32" s="31"/>
      <c r="E32" s="26">
        <f>'6.4'!E16+'6.5'!E16+'6.6'!E16+'6.7'!E16</f>
        <v>67674180.28309384</v>
      </c>
      <c r="F32" s="26"/>
      <c r="G32" s="38">
        <f>'6.3'!H16</f>
        <v>0.06</v>
      </c>
      <c r="H32" s="108"/>
      <c r="I32" s="60"/>
      <c r="K32" s="2"/>
    </row>
    <row r="33" spans="1:13" x14ac:dyDescent="0.2">
      <c r="A33" t="str">
        <f t="shared" si="4"/>
        <v>1986</v>
      </c>
      <c r="C33" s="108">
        <v>36673352</v>
      </c>
      <c r="D33" s="31"/>
      <c r="E33" s="26">
        <f>'6.4'!E17+'6.5'!E17+'6.6'!E17+'6.7'!E17</f>
        <v>82608316.254789531</v>
      </c>
      <c r="F33" s="26"/>
      <c r="G33" s="38">
        <f>'6.3'!H17</f>
        <v>0.111</v>
      </c>
      <c r="H33" s="108" t="s">
        <v>76</v>
      </c>
      <c r="I33" s="60"/>
      <c r="K33" s="2"/>
    </row>
    <row r="34" spans="1:13" x14ac:dyDescent="0.2">
      <c r="A34" t="str">
        <f t="shared" si="4"/>
        <v>1987</v>
      </c>
      <c r="C34" s="108">
        <v>41598709</v>
      </c>
      <c r="D34" s="31"/>
      <c r="E34" s="26">
        <f>'6.4'!E18+'6.5'!E18+'6.6'!E18+'6.7'!E18</f>
        <v>93702898.746453211</v>
      </c>
      <c r="F34" s="26"/>
      <c r="G34" s="38">
        <f>'6.3'!H18</f>
        <v>2.7E-2</v>
      </c>
      <c r="H34" s="108" t="s">
        <v>291</v>
      </c>
      <c r="I34" s="60"/>
      <c r="K34" s="2"/>
    </row>
    <row r="35" spans="1:13" x14ac:dyDescent="0.2">
      <c r="A35" t="str">
        <f t="shared" si="4"/>
        <v>1988</v>
      </c>
      <c r="C35" s="108">
        <v>45044392</v>
      </c>
      <c r="D35" s="53"/>
      <c r="E35" s="26">
        <f>'6.4'!E19+'6.5'!E19+'6.6'!E19+'6.7'!E19</f>
        <v>104280006.81941137</v>
      </c>
      <c r="F35" s="26"/>
      <c r="G35" s="38">
        <f>'6.3'!H19</f>
        <v>0.11600000000000001</v>
      </c>
      <c r="H35" s="111"/>
      <c r="I35" s="60"/>
      <c r="K35" s="2"/>
    </row>
    <row r="36" spans="1:13" x14ac:dyDescent="0.2">
      <c r="A36" t="str">
        <f t="shared" si="4"/>
        <v>1989</v>
      </c>
      <c r="C36" s="108">
        <v>41745774</v>
      </c>
      <c r="D36" s="53"/>
      <c r="E36" s="26">
        <f>'6.4'!E20+'6.5'!E20+'6.6'!E20+'6.7'!E20</f>
        <v>99401872.051372439</v>
      </c>
      <c r="F36" s="26"/>
      <c r="G36" s="38">
        <f>'6.3'!H20</f>
        <v>7.5999999999999998E-2</v>
      </c>
      <c r="H36" s="111" t="s">
        <v>76</v>
      </c>
      <c r="I36" s="60"/>
      <c r="K36" s="2"/>
    </row>
    <row r="37" spans="1:13" x14ac:dyDescent="0.2">
      <c r="A37" t="str">
        <f t="shared" si="4"/>
        <v>1990</v>
      </c>
      <c r="C37" s="108">
        <v>40384195</v>
      </c>
      <c r="D37" s="53"/>
      <c r="E37" s="26">
        <f>'6.4'!E21+'6.5'!E21+'6.6'!E21+'6.7'!E21</f>
        <v>94692054.081641838</v>
      </c>
      <c r="F37" s="26"/>
      <c r="G37" s="38">
        <f>'6.3'!H21</f>
        <v>0.191</v>
      </c>
      <c r="H37" s="111"/>
      <c r="I37" s="60"/>
      <c r="K37" s="2"/>
    </row>
    <row r="38" spans="1:13" x14ac:dyDescent="0.2">
      <c r="A38" t="str">
        <f t="shared" si="4"/>
        <v>1991</v>
      </c>
      <c r="B38" s="12"/>
      <c r="C38" s="53">
        <f>'[2]TICO 2'!S38</f>
        <v>46237136.860229284</v>
      </c>
      <c r="D38" s="53"/>
      <c r="E38" s="26">
        <f>'6.4'!E22+'6.5'!E22+'6.6'!E22+'6.7'!E22</f>
        <v>94920885.536060274</v>
      </c>
      <c r="F38" s="26"/>
      <c r="G38" s="38">
        <f>'6.3'!H22</f>
        <v>0.91200000000000003</v>
      </c>
      <c r="H38" s="111" t="s">
        <v>291</v>
      </c>
      <c r="I38" s="60"/>
      <c r="K38" s="2"/>
    </row>
    <row r="39" spans="1:13" x14ac:dyDescent="0.2">
      <c r="A39" t="str">
        <f t="shared" si="4"/>
        <v>1992</v>
      </c>
      <c r="B39" s="12"/>
      <c r="C39" s="53">
        <f>'[2]TICO 2'!S39</f>
        <v>44512572.190501332</v>
      </c>
      <c r="D39" s="53"/>
      <c r="E39" s="26">
        <f>'6.4'!E23+'6.5'!E23+'6.6'!E23+'6.7'!E23</f>
        <v>112660892.77615821</v>
      </c>
      <c r="F39" s="26"/>
      <c r="G39" s="38">
        <f>'6.3'!H23</f>
        <v>6.4000000000000001E-2</v>
      </c>
      <c r="H39" s="111" t="s">
        <v>291</v>
      </c>
      <c r="I39" s="60"/>
      <c r="K39" s="2"/>
    </row>
    <row r="40" spans="1:13" x14ac:dyDescent="0.2">
      <c r="A40" t="str">
        <f t="shared" si="4"/>
        <v>1993</v>
      </c>
      <c r="B40" s="12"/>
      <c r="C40" s="53">
        <f>'[2]TICO 2'!S40</f>
        <v>50741119.97315982</v>
      </c>
      <c r="D40" s="53"/>
      <c r="E40" s="26">
        <f>'6.4'!E24+'6.5'!E24+'6.6'!E24+'6.7'!E24</f>
        <v>177222041.46963131</v>
      </c>
      <c r="F40" s="26"/>
      <c r="G40" s="38">
        <f>'6.3'!H24</f>
        <v>7.6999999999999999E-2</v>
      </c>
      <c r="H40" s="111" t="s">
        <v>291</v>
      </c>
      <c r="I40" s="60"/>
      <c r="K40" s="2"/>
    </row>
    <row r="41" spans="1:13" x14ac:dyDescent="0.2">
      <c r="A41" t="str">
        <f t="shared" si="4"/>
        <v>1994</v>
      </c>
      <c r="C41" s="53">
        <f>'[2]TICO 2'!S41</f>
        <v>57584585.297293372</v>
      </c>
      <c r="D41" s="53"/>
      <c r="E41" s="26">
        <f>'6.4'!E25+'6.5'!E25+'6.6'!E25+'6.7'!E25</f>
        <v>177917397.76641411</v>
      </c>
      <c r="F41" s="26"/>
      <c r="G41" s="38">
        <f>'6.3'!H25</f>
        <v>4.1000000000000002E-2</v>
      </c>
      <c r="H41" s="111" t="s">
        <v>291</v>
      </c>
      <c r="I41" s="60"/>
      <c r="K41" s="2"/>
    </row>
    <row r="42" spans="1:13" x14ac:dyDescent="0.2">
      <c r="A42" t="str">
        <f t="shared" si="4"/>
        <v>1995</v>
      </c>
      <c r="C42" s="53">
        <f>'[2]TICO 2'!S42</f>
        <v>60740049.308940604</v>
      </c>
      <c r="D42" s="53"/>
      <c r="E42" s="26">
        <f>'6.4'!E26+'6.5'!E26+'6.6'!E26+'6.7'!E26</f>
        <v>166814881.56416559</v>
      </c>
      <c r="F42" s="26"/>
      <c r="G42" s="38">
        <f>'6.3'!H26</f>
        <v>6.4000000000000001E-2</v>
      </c>
      <c r="H42" s="111" t="s">
        <v>291</v>
      </c>
      <c r="I42" s="60"/>
      <c r="K42" s="2"/>
    </row>
    <row r="43" spans="1:13" x14ac:dyDescent="0.2">
      <c r="A43" t="str">
        <f t="shared" si="4"/>
        <v>1996</v>
      </c>
      <c r="C43" s="53">
        <f>'[2]TICO 2'!S43</f>
        <v>71865572.173548207</v>
      </c>
      <c r="D43" s="53"/>
      <c r="E43" s="26">
        <f>'6.4'!E27+'6.5'!E27+'6.6'!E27+'6.7'!E27</f>
        <v>177632754.13827872</v>
      </c>
      <c r="F43" s="26"/>
      <c r="G43" s="38">
        <f>'6.3'!H27</f>
        <v>3.5999999999999997E-2</v>
      </c>
      <c r="H43" s="111" t="s">
        <v>291</v>
      </c>
      <c r="I43" s="60"/>
      <c r="K43" s="2"/>
    </row>
    <row r="44" spans="1:13" x14ac:dyDescent="0.2">
      <c r="A44" t="str">
        <f t="shared" si="4"/>
        <v>1997</v>
      </c>
      <c r="C44" s="53">
        <f>'[2]TICO 2'!S44</f>
        <v>79154547.157164454</v>
      </c>
      <c r="D44" s="53"/>
      <c r="E44" s="26">
        <f>'6.4'!E28+'6.5'!E28+'6.6'!E28+'6.7'!E28</f>
        <v>195649178.85857037</v>
      </c>
      <c r="F44" s="26"/>
      <c r="G44" s="38">
        <f>'6.3'!H28</f>
        <v>4.4999999999999998E-2</v>
      </c>
      <c r="H44" s="111" t="s">
        <v>291</v>
      </c>
      <c r="I44" s="60"/>
      <c r="K44" s="2"/>
    </row>
    <row r="45" spans="1:13" x14ac:dyDescent="0.2">
      <c r="A45" t="str">
        <f t="shared" si="4"/>
        <v>1998</v>
      </c>
      <c r="C45" s="53">
        <f>'[2]TICO 2'!S45</f>
        <v>80238259.539037943</v>
      </c>
      <c r="D45" s="53"/>
      <c r="E45" s="26">
        <f>'6.4'!E29+'6.5'!E29+'6.6'!E29+'6.7'!E29</f>
        <v>198129700.87117243</v>
      </c>
      <c r="F45" s="26"/>
      <c r="G45" s="38">
        <f>'6.3'!H29</f>
        <v>0.20499999999999999</v>
      </c>
      <c r="H45" s="111" t="s">
        <v>291</v>
      </c>
      <c r="I45" s="60"/>
      <c r="K45" s="2"/>
    </row>
    <row r="46" spans="1:13" x14ac:dyDescent="0.2">
      <c r="A46" t="str">
        <f t="shared" si="4"/>
        <v>1999</v>
      </c>
      <c r="C46" s="53">
        <f>'[2]TICO 2'!S46</f>
        <v>71026551.585025668</v>
      </c>
      <c r="D46" s="53"/>
      <c r="E46" s="26">
        <f>'6.4'!E30+'6.5'!E30+'6.6'!E30+'6.7'!E30</f>
        <v>183849421.69128454</v>
      </c>
      <c r="F46" s="26"/>
      <c r="G46" s="38">
        <f>'6.3'!H30</f>
        <v>8.3000000000000004E-2</v>
      </c>
      <c r="H46" s="111" t="s">
        <v>76</v>
      </c>
      <c r="I46" s="60"/>
      <c r="K46" s="2"/>
      <c r="L46" t="s">
        <v>198</v>
      </c>
      <c r="M46" t="s">
        <v>199</v>
      </c>
    </row>
    <row r="47" spans="1:13" x14ac:dyDescent="0.2">
      <c r="A47" t="str">
        <f t="shared" si="4"/>
        <v>2000</v>
      </c>
      <c r="C47" s="53">
        <f>'[2]TICO 2'!S47</f>
        <v>75114173.966088325</v>
      </c>
      <c r="D47" s="103"/>
      <c r="E47" s="26">
        <f>'6.4'!E31+'6.5'!E31+'6.6'!E31+'6.7'!E31</f>
        <v>195990799.92270035</v>
      </c>
      <c r="F47" s="26"/>
      <c r="G47" s="38">
        <f>'6.3'!H31</f>
        <v>4.9000000000000002E-2</v>
      </c>
      <c r="H47" s="111" t="s">
        <v>291</v>
      </c>
      <c r="I47" s="60"/>
      <c r="K47" s="2"/>
      <c r="L47" s="37">
        <f>'6.4'!K$56</f>
        <v>45199</v>
      </c>
      <c r="M47" s="37">
        <f>'6.4'!L$56</f>
        <v>45291</v>
      </c>
    </row>
    <row r="48" spans="1:13" x14ac:dyDescent="0.2">
      <c r="A48" t="str">
        <f t="shared" si="4"/>
        <v>2001</v>
      </c>
      <c r="C48" s="53">
        <f>'[2]TICO 2'!S48</f>
        <v>74726401.205721065</v>
      </c>
      <c r="D48" s="103"/>
      <c r="E48" s="26">
        <f>'6.4'!E32+'6.5'!E32+'6.6'!E32+'6.7'!E32</f>
        <v>171328384.83300996</v>
      </c>
      <c r="F48" s="26"/>
      <c r="G48" s="38">
        <f>'6.3'!H32</f>
        <v>6.5000000000000002E-2</v>
      </c>
      <c r="H48" s="111" t="s">
        <v>291</v>
      </c>
      <c r="I48" s="60"/>
      <c r="K48" s="2"/>
    </row>
    <row r="49" spans="1:11" x14ac:dyDescent="0.2">
      <c r="A49" t="str">
        <f t="shared" si="4"/>
        <v>2002</v>
      </c>
      <c r="C49" s="53">
        <f>'[2]TICO 2'!S49</f>
        <v>86289350</v>
      </c>
      <c r="D49" s="103"/>
      <c r="E49" s="26">
        <f>'6.4'!E33+'6.5'!E33+'6.6'!E33+'6.7'!E33</f>
        <v>182396099.10896838</v>
      </c>
      <c r="F49" s="26"/>
      <c r="G49" s="38">
        <f>'6.3'!H33</f>
        <v>0.16600000000000001</v>
      </c>
      <c r="H49" s="111" t="s">
        <v>291</v>
      </c>
      <c r="I49" s="60"/>
      <c r="K49" s="2"/>
    </row>
    <row r="50" spans="1:11" x14ac:dyDescent="0.2">
      <c r="A50" t="str">
        <f t="shared" si="4"/>
        <v>2003</v>
      </c>
      <c r="C50" s="53">
        <f>'[2]TICO 2'!S50</f>
        <v>112200741</v>
      </c>
      <c r="D50" s="103"/>
      <c r="E50" s="26">
        <f>'6.4'!E34+'6.5'!E34+'6.6'!E34+'6.7'!E34</f>
        <v>237166897.49597096</v>
      </c>
      <c r="G50" s="38">
        <f>'6.3'!H34</f>
        <v>0.19500000000000001</v>
      </c>
      <c r="H50" s="111" t="s">
        <v>76</v>
      </c>
      <c r="I50" s="60"/>
      <c r="K50" s="2"/>
    </row>
    <row r="51" spans="1:11" x14ac:dyDescent="0.2">
      <c r="A51" t="str">
        <f t="shared" si="4"/>
        <v>2004</v>
      </c>
      <c r="C51" s="53">
        <f>'[2]TICO 2'!S51</f>
        <v>123050217</v>
      </c>
      <c r="D51" s="103"/>
      <c r="E51" s="26">
        <f>'6.4'!E35+'6.5'!E35+'6.6'!E35+'6.7'!E35</f>
        <v>248017394.96585703</v>
      </c>
      <c r="G51" s="38">
        <f>'6.3'!H35</f>
        <v>1.6E-2</v>
      </c>
      <c r="H51" s="111" t="s">
        <v>291</v>
      </c>
      <c r="I51" s="60"/>
      <c r="K51" s="2"/>
    </row>
    <row r="52" spans="1:11" x14ac:dyDescent="0.2">
      <c r="A52" t="str">
        <f t="shared" si="4"/>
        <v>2005</v>
      </c>
      <c r="C52" s="53">
        <f>'[2]TICO 2'!S52</f>
        <v>135380924</v>
      </c>
      <c r="D52" s="103"/>
      <c r="E52" s="26">
        <f>'6.4'!E36+'6.5'!E36+'6.6'!E36+'6.7'!E36</f>
        <v>261099035.45153755</v>
      </c>
      <c r="G52" s="38">
        <f>'6.3'!H36</f>
        <v>1.093</v>
      </c>
      <c r="H52" s="111" t="s">
        <v>76</v>
      </c>
      <c r="I52" s="60"/>
      <c r="K52" s="2"/>
    </row>
    <row r="53" spans="1:11" x14ac:dyDescent="0.2">
      <c r="A53" t="str">
        <f t="shared" si="4"/>
        <v>2006</v>
      </c>
      <c r="B53" s="23"/>
      <c r="C53" s="53">
        <f>'[2]TICO 2'!S53</f>
        <v>154699767</v>
      </c>
      <c r="D53" s="103"/>
      <c r="E53" s="26">
        <f>'6.4'!E37+'6.5'!E37+'6.6'!E37+'6.7'!E37</f>
        <v>297641803.76959211</v>
      </c>
      <c r="F53" s="26"/>
      <c r="G53" s="38">
        <f>'6.3'!H37</f>
        <v>1.9E-2</v>
      </c>
      <c r="H53" s="111" t="s">
        <v>291</v>
      </c>
      <c r="I53" s="60"/>
      <c r="K53" s="2"/>
    </row>
    <row r="54" spans="1:11" x14ac:dyDescent="0.2">
      <c r="A54" t="str">
        <f t="shared" si="4"/>
        <v>2007</v>
      </c>
      <c r="C54" s="53">
        <f>'[2]TICO 2'!S54</f>
        <v>219914305</v>
      </c>
      <c r="D54" s="103"/>
      <c r="E54" s="26">
        <f>'6.4'!E38+'6.5'!E38+'6.6'!E38+'6.7'!E38</f>
        <v>403864588.68160832</v>
      </c>
      <c r="G54" s="38">
        <f>'6.3'!H38</f>
        <v>4.9000000000000002E-2</v>
      </c>
      <c r="H54" s="111" t="s">
        <v>76</v>
      </c>
      <c r="I54" s="20"/>
      <c r="K54" s="2"/>
    </row>
    <row r="55" spans="1:11" x14ac:dyDescent="0.2">
      <c r="A55" t="str">
        <f t="shared" si="4"/>
        <v>2008</v>
      </c>
      <c r="C55" s="53">
        <f>'[2]TICO 2'!S55</f>
        <v>289558186</v>
      </c>
      <c r="D55" s="103"/>
      <c r="E55" s="26">
        <f>'6.4'!E39+'6.5'!E39+'6.6'!E39+'6.7'!E39</f>
        <v>501518052.03257847</v>
      </c>
      <c r="G55" s="38">
        <f>'6.3'!H39</f>
        <v>4.0860000000000003</v>
      </c>
      <c r="H55" s="111" t="s">
        <v>76</v>
      </c>
      <c r="I55" s="20"/>
      <c r="K55" s="2"/>
    </row>
    <row r="56" spans="1:11" x14ac:dyDescent="0.2">
      <c r="A56" t="str">
        <f t="shared" si="4"/>
        <v>2009</v>
      </c>
      <c r="C56" s="53">
        <f>'[2]TICO 2'!S56</f>
        <v>327305758</v>
      </c>
      <c r="D56" s="103"/>
      <c r="E56" s="26">
        <f>'6.4'!E40+'6.5'!E40+'6.6'!E40+'6.7'!E40</f>
        <v>515061744.2236259</v>
      </c>
      <c r="G56" s="38">
        <f>'6.3'!H40</f>
        <v>1.7999999999999999E-2</v>
      </c>
      <c r="H56" s="111"/>
      <c r="I56" s="43"/>
      <c r="K56" s="2"/>
    </row>
    <row r="57" spans="1:11" x14ac:dyDescent="0.2">
      <c r="A57" t="str">
        <f t="shared" si="4"/>
        <v>2010</v>
      </c>
      <c r="C57" s="53">
        <f>'[2]TICO 2'!S57</f>
        <v>355219215</v>
      </c>
      <c r="D57" s="103"/>
      <c r="E57" s="26">
        <f>'6.4'!E41+'6.5'!E41+'6.6'!E41+'6.7'!E41</f>
        <v>524962455.69076967</v>
      </c>
      <c r="G57" s="38">
        <f>'6.3'!H41</f>
        <v>3.5999999999999997E-2</v>
      </c>
      <c r="H57" s="111"/>
      <c r="I57" s="43"/>
      <c r="K57" s="2"/>
    </row>
    <row r="58" spans="1:11" x14ac:dyDescent="0.2">
      <c r="A58" t="str">
        <f t="shared" si="4"/>
        <v>2011</v>
      </c>
      <c r="C58" s="53">
        <f>'[2]TICO 2'!S58</f>
        <v>370875863</v>
      </c>
      <c r="D58" s="103"/>
      <c r="E58" s="26">
        <f>'6.4'!E42+'6.5'!E42+'6.6'!E42+'6.7'!E42</f>
        <v>534562855.41677928</v>
      </c>
      <c r="G58" s="38">
        <f>'6.3'!H42</f>
        <v>0.17499999999999999</v>
      </c>
      <c r="H58" s="111" t="s">
        <v>291</v>
      </c>
      <c r="I58" s="43"/>
      <c r="K58" s="2"/>
    </row>
    <row r="59" spans="1:11" x14ac:dyDescent="0.2">
      <c r="A59" t="str">
        <f t="shared" si="4"/>
        <v>2012</v>
      </c>
      <c r="C59" s="53">
        <f>'[2]TICO 2'!S59</f>
        <v>406981851</v>
      </c>
      <c r="D59" s="103"/>
      <c r="E59" s="26">
        <f>'6.4'!E43+'6.5'!E43+'6.6'!E43+'6.7'!E43</f>
        <v>558681022.62527263</v>
      </c>
      <c r="G59" s="38">
        <f>'6.3'!H43</f>
        <v>0.127</v>
      </c>
      <c r="H59" s="112"/>
      <c r="I59" s="20"/>
      <c r="K59" s="2"/>
    </row>
    <row r="60" spans="1:11" x14ac:dyDescent="0.2">
      <c r="A60" t="str">
        <f t="shared" si="4"/>
        <v>2013</v>
      </c>
      <c r="C60" s="53">
        <f>'[2]TICO 2'!S60</f>
        <v>440952159</v>
      </c>
      <c r="D60" s="103"/>
      <c r="E60" s="26">
        <f>'6.4'!E44+'6.5'!E44+'6.6'!E44+'6.7'!E44</f>
        <v>576566712.53045404</v>
      </c>
      <c r="G60" s="38">
        <f>'6.3'!H44</f>
        <v>0.16500000000000001</v>
      </c>
      <c r="H60" s="111" t="s">
        <v>291</v>
      </c>
      <c r="I60" s="43"/>
      <c r="K60" s="2"/>
    </row>
    <row r="61" spans="1:11" x14ac:dyDescent="0.2">
      <c r="A61" t="str">
        <f t="shared" si="4"/>
        <v>2014</v>
      </c>
      <c r="C61" s="53">
        <f>'[2]TICO 2'!S61</f>
        <v>477983216</v>
      </c>
      <c r="D61" s="103"/>
      <c r="E61" s="26">
        <f>'6.4'!E45+'6.5'!E45+'6.6'!E45+'6.7'!E45</f>
        <v>595350328.57775843</v>
      </c>
      <c r="G61" s="38">
        <f>'6.3'!H45</f>
        <v>2.1000000000000001E-2</v>
      </c>
      <c r="H61" s="111"/>
      <c r="I61" s="43"/>
      <c r="K61" s="2"/>
    </row>
    <row r="62" spans="1:11" x14ac:dyDescent="0.2">
      <c r="A62" t="str">
        <f t="shared" si="4"/>
        <v>2015</v>
      </c>
      <c r="C62" s="53">
        <f>'[2]TICO 2'!S62</f>
        <v>517579765</v>
      </c>
      <c r="D62" s="103"/>
      <c r="E62" s="26">
        <f>'6.4'!E46+'6.5'!E46+'6.6'!E46+'6.7'!E46</f>
        <v>614090012.38975632</v>
      </c>
      <c r="G62" s="38">
        <f ca="1">'6.3'!H46</f>
        <v>0.23400000000000001</v>
      </c>
      <c r="H62" s="112"/>
      <c r="I62" s="20"/>
      <c r="K62" s="2"/>
    </row>
    <row r="63" spans="1:11" x14ac:dyDescent="0.2">
      <c r="A63" t="str">
        <f t="shared" si="4"/>
        <v>2016</v>
      </c>
      <c r="C63" s="53">
        <f>'[2]TICO 2'!S63</f>
        <v>541982800</v>
      </c>
      <c r="D63" s="103"/>
      <c r="E63" s="26">
        <f>'6.4'!E47+'6.5'!E47+'6.6'!E47+'6.7'!E47</f>
        <v>612650712.83318377</v>
      </c>
      <c r="G63" s="38">
        <f ca="1">'6.3'!H47</f>
        <v>8.1000000000000003E-2</v>
      </c>
      <c r="H63" s="112"/>
      <c r="K63" s="2"/>
    </row>
    <row r="64" spans="1:11" x14ac:dyDescent="0.2">
      <c r="A64" t="str">
        <f t="shared" si="4"/>
        <v>2017</v>
      </c>
      <c r="C64" s="53">
        <f>'[2]TICO 2'!S64</f>
        <v>533284592</v>
      </c>
      <c r="D64" s="103"/>
      <c r="E64" s="26">
        <f>'6.4'!E48+'6.5'!E48+'6.6'!E48+'6.7'!E48</f>
        <v>587946262.49750006</v>
      </c>
      <c r="G64" s="38">
        <f ca="1">'6.3'!H48</f>
        <v>2.0779999999999998</v>
      </c>
      <c r="H64" s="112" t="s">
        <v>76</v>
      </c>
      <c r="K64" s="2"/>
    </row>
    <row r="65" spans="1:11" x14ac:dyDescent="0.2">
      <c r="A65" t="str">
        <f t="shared" si="4"/>
        <v>2018</v>
      </c>
      <c r="C65" s="53">
        <f>'[2]TICO 2'!S65</f>
        <v>516732311</v>
      </c>
      <c r="D65" s="103"/>
      <c r="E65" s="26">
        <f>'6.4'!E49+'6.5'!E49+'6.6'!E49+'6.7'!E49</f>
        <v>556428278.33704758</v>
      </c>
      <c r="G65" s="38">
        <f ca="1">'6.3'!H49</f>
        <v>3.3000000000000002E-2</v>
      </c>
      <c r="H65" s="112"/>
      <c r="K65" s="2"/>
    </row>
    <row r="66" spans="1:11" x14ac:dyDescent="0.2">
      <c r="A66" t="str">
        <f t="shared" si="4"/>
        <v>2019</v>
      </c>
      <c r="C66" s="53">
        <f>'[2]TICO 2'!S66</f>
        <v>509685524</v>
      </c>
      <c r="D66" s="103"/>
      <c r="E66" s="26">
        <f>'6.4'!E50+'6.5'!E50+'6.6'!E50+'6.7'!E50</f>
        <v>535169799.89999795</v>
      </c>
      <c r="G66" s="38">
        <f ca="1">'6.3'!H50</f>
        <v>6.4000000000000001E-2</v>
      </c>
      <c r="H66" s="112"/>
      <c r="K66" s="2"/>
    </row>
    <row r="67" spans="1:11" x14ac:dyDescent="0.2">
      <c r="A67" t="str">
        <f t="shared" si="4"/>
        <v>2020</v>
      </c>
      <c r="C67" s="53">
        <f>'[2]TICO 2'!S67</f>
        <v>502856199</v>
      </c>
      <c r="D67" s="103"/>
      <c r="E67" s="26">
        <f>'6.4'!E51+'6.5'!E51+'6.6'!E51+'6.7'!E51</f>
        <v>527999008.65000135</v>
      </c>
      <c r="G67" s="38">
        <f ca="1">'6.3'!H51</f>
        <v>0.131131</v>
      </c>
      <c r="H67" s="112" t="s">
        <v>76</v>
      </c>
      <c r="K67" s="2"/>
    </row>
    <row r="68" spans="1:11" x14ac:dyDescent="0.2">
      <c r="A68" t="str">
        <f t="shared" si="4"/>
        <v>2021</v>
      </c>
      <c r="C68" s="53">
        <f>'[2]TICO 2'!S68</f>
        <v>514931763</v>
      </c>
      <c r="D68" s="103"/>
      <c r="E68" s="26">
        <f>'6.4'!E52+'6.5'!E52+'6.6'!E52+'6.7'!E52</f>
        <v>540678350.80000222</v>
      </c>
      <c r="G68" s="38">
        <f ca="1">'6.3'!H52</f>
        <v>0.24622499999999997</v>
      </c>
      <c r="H68" s="112" t="s">
        <v>76</v>
      </c>
      <c r="K68" s="2"/>
    </row>
    <row r="69" spans="1:11" x14ac:dyDescent="0.2">
      <c r="A69" t="str">
        <f t="shared" si="4"/>
        <v>2022</v>
      </c>
      <c r="C69" s="53">
        <f>'[2]TICO 2'!S69</f>
        <v>562949434</v>
      </c>
      <c r="D69" s="103"/>
      <c r="E69" s="26">
        <f>'6.4'!E53+'6.5'!E53+'6.6'!E53+'6.7'!E53</f>
        <v>575799472.01679468</v>
      </c>
      <c r="G69" s="38">
        <f ca="1">'6.3'!H53</f>
        <v>8.5074999999999998E-2</v>
      </c>
      <c r="H69" s="112"/>
      <c r="K69" s="2"/>
    </row>
    <row r="70" spans="1:11" x14ac:dyDescent="0.2">
      <c r="A70" s="23" t="str">
        <f t="shared" si="4"/>
        <v>2023</v>
      </c>
      <c r="C70" s="53">
        <f>'[2]TICO 2'!S70</f>
        <v>681526801</v>
      </c>
      <c r="D70" s="103"/>
      <c r="E70" s="26">
        <f>'6.4'!E54+'6.5'!E54+'6.6'!E54+'6.7'!E54</f>
        <v>681526801</v>
      </c>
      <c r="G70" s="38">
        <f ca="1">'6.3'!H54</f>
        <v>0.16755999999999999</v>
      </c>
      <c r="H70" s="112"/>
      <c r="K70" s="2"/>
    </row>
    <row r="71" spans="1:11" x14ac:dyDescent="0.2">
      <c r="A71" s="23"/>
      <c r="C71" s="53"/>
      <c r="D71" s="103"/>
      <c r="E71" s="26"/>
      <c r="G71" s="38"/>
      <c r="H71" s="112"/>
      <c r="K71" s="2"/>
    </row>
    <row r="72" spans="1:11" x14ac:dyDescent="0.2">
      <c r="A72" t="s">
        <v>30</v>
      </c>
      <c r="C72" s="19">
        <f>SUM(C16:C71)</f>
        <v>9633436628.2567101</v>
      </c>
      <c r="D72" s="19">
        <f>SUM(D13:D71)</f>
        <v>285475684</v>
      </c>
      <c r="E72" s="19">
        <f>SUM(E13:E71)</f>
        <v>13816770045.685646</v>
      </c>
      <c r="G72" s="20">
        <f ca="1">ROUND(AVERAGE(G13:G71),3)</f>
        <v>0.34799999999999998</v>
      </c>
      <c r="K72" s="2"/>
    </row>
    <row r="73" spans="1:11" x14ac:dyDescent="0.2">
      <c r="C73" s="19"/>
      <c r="D73" s="19"/>
      <c r="E73" s="19"/>
      <c r="G73" s="20"/>
      <c r="K73" s="2"/>
    </row>
    <row r="74" spans="1:11" x14ac:dyDescent="0.2">
      <c r="A74" t="s">
        <v>115</v>
      </c>
      <c r="G74" s="20">
        <f ca="1">ROUND(SUMIF(H13:H71,"&lt;&gt;H",G13:G71)/COUNTIF(H13:H71,"&lt;&gt;H"),3)</f>
        <v>9.9000000000000005E-2</v>
      </c>
      <c r="K74" s="2"/>
    </row>
    <row r="75" spans="1:11" ht="12" thickBot="1" x14ac:dyDescent="0.25">
      <c r="A75" s="6" t="s">
        <v>70</v>
      </c>
      <c r="B75" s="6"/>
      <c r="C75" s="6"/>
      <c r="D75" s="6"/>
      <c r="E75" s="6"/>
      <c r="F75" s="6"/>
      <c r="G75" s="137">
        <f ca="1">ROUND(AVERAGE(G74:G74),3)</f>
        <v>9.9000000000000005E-2</v>
      </c>
      <c r="K75" s="2"/>
    </row>
    <row r="76" spans="1:11" ht="12" hidden="1" thickBot="1" x14ac:dyDescent="0.25">
      <c r="A76" s="6"/>
      <c r="B76" s="6"/>
      <c r="C76" s="6"/>
      <c r="D76" s="6"/>
      <c r="E76" s="6"/>
      <c r="F76" s="6"/>
      <c r="G76" s="6"/>
      <c r="K76" s="2"/>
    </row>
    <row r="77" spans="1:11" ht="12" thickTop="1" x14ac:dyDescent="0.2">
      <c r="A77" t="s">
        <v>17</v>
      </c>
      <c r="B77" s="12" t="str">
        <f>C11&amp;", "&amp;D11&amp;" Provided by TDI.  Accident years ending "&amp;TEXT($L$47,"m/d/xx")&amp;" as of "&amp;TEXT($M$47,"m/d/yyyy")</f>
        <v>(2), (3) Provided by TDI.  Accident years ending 9/30/xx as of 12/31/2023</v>
      </c>
      <c r="K77" s="2"/>
    </row>
    <row r="78" spans="1:11" x14ac:dyDescent="0.2">
      <c r="B78" s="12" t="str">
        <f>E11&amp;" "&amp;A30&amp;" - "&amp;YEAR(M47)&amp;": Sum of "&amp;'6.4'!$I$1&amp;", "&amp;'6.4'!$I$2&amp;" - "&amp;'6.7'!$I$2&amp;", "&amp;'6.4'!E12&amp;"; "&amp;A13&amp;" - "&amp;A29&amp;": "&amp;D11&amp;" * "&amp;TEXT('6.4'!$K$14,"0.0")</f>
        <v>(4) 1983 - 2023: Sum of Exhibit 6, Sheet 4 - Sheet 7, (4); 1966 - 1982: (3) * 2.3</v>
      </c>
      <c r="K78" s="2"/>
    </row>
    <row r="79" spans="1:11" x14ac:dyDescent="0.2">
      <c r="B79" s="12" t="str">
        <f>F11&amp;" Provided by TDI.  Accident years ending "&amp;TEXT($L$47,"m/d/xx")&amp;" as of 12/31/2010"</f>
        <v>(5) Provided by TDI.  Accident years ending 9/30/xx as of 12/31/2010</v>
      </c>
      <c r="D79" s="12"/>
      <c r="K79" s="2"/>
    </row>
    <row r="80" spans="1:11" x14ac:dyDescent="0.2">
      <c r="B80" s="12" t="str">
        <f>G11&amp;" "&amp;A30&amp;" - "&amp;YEAR(M47)&amp;": "&amp;'6.3'!$I$1&amp;", "&amp;'6.3'!$I$2&amp;"; "&amp;A13&amp;" - "&amp;A29&amp;": "&amp;F11&amp;" / "&amp;E11</f>
        <v>(6) 1983 - 2023: Exhibit 6, Sheet 3; 1966 - 1982: (5) / (4)</v>
      </c>
      <c r="K80" s="2"/>
    </row>
    <row r="81" spans="1:11" ht="12" thickBot="1" x14ac:dyDescent="0.25">
      <c r="B81" s="12" t="str">
        <f>H11&amp;" ""H"" indicates hurricane year"</f>
        <v>(7) "H" indicates hurricane year</v>
      </c>
      <c r="K81" s="2"/>
    </row>
    <row r="82" spans="1:11" ht="12" thickBot="1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3"/>
    </row>
  </sheetData>
  <phoneticPr fontId="0" type="noConversion"/>
  <pageMargins left="0.5" right="0.5" top="0.5" bottom="0" header="0.5" footer="0.25"/>
  <pageSetup scale="93"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tabColor rgb="FF00FF00"/>
    <pageSetUpPr fitToPage="1"/>
  </sheetPr>
  <dimension ref="A1:O76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8" bestFit="1" customWidth="1"/>
    <col min="9" max="9" width="7" customWidth="1"/>
  </cols>
  <sheetData>
    <row r="1" spans="1:15" x14ac:dyDescent="0.2">
      <c r="A1" s="8" t="str">
        <f>'1'!$A$1</f>
        <v>Texas Windstorm Insurance Association</v>
      </c>
      <c r="B1" s="12"/>
      <c r="I1" s="7" t="s">
        <v>92</v>
      </c>
      <c r="J1" s="188"/>
      <c r="N1" t="s">
        <v>369</v>
      </c>
      <c r="O1" t="s">
        <v>385</v>
      </c>
    </row>
    <row r="2" spans="1:15" x14ac:dyDescent="0.2">
      <c r="A2" s="8" t="str">
        <f>'1'!$A$2</f>
        <v>Residential Property - Wind &amp; Hail</v>
      </c>
      <c r="B2" s="12"/>
      <c r="I2" s="7" t="s">
        <v>83</v>
      </c>
      <c r="J2" s="189"/>
      <c r="N2" t="s">
        <v>369</v>
      </c>
      <c r="O2" t="s">
        <v>390</v>
      </c>
    </row>
    <row r="3" spans="1:15" x14ac:dyDescent="0.2">
      <c r="A3" s="8" t="str">
        <f>'1'!$A$3</f>
        <v>Rate Level Review</v>
      </c>
      <c r="B3" s="12"/>
      <c r="J3" s="189"/>
      <c r="N3" t="s">
        <v>369</v>
      </c>
      <c r="O3" t="s">
        <v>394</v>
      </c>
    </row>
    <row r="4" spans="1:15" x14ac:dyDescent="0.2">
      <c r="A4" t="s">
        <v>93</v>
      </c>
      <c r="B4" s="12"/>
      <c r="J4" s="189"/>
      <c r="N4" t="s">
        <v>369</v>
      </c>
      <c r="O4" t="s">
        <v>395</v>
      </c>
    </row>
    <row r="5" spans="1:15" x14ac:dyDescent="0.2">
      <c r="A5" t="s">
        <v>450</v>
      </c>
      <c r="B5" s="12"/>
      <c r="J5" s="189"/>
      <c r="N5" t="s">
        <v>369</v>
      </c>
      <c r="O5" t="s">
        <v>396</v>
      </c>
    </row>
    <row r="6" spans="1:15" x14ac:dyDescent="0.2">
      <c r="J6" s="189"/>
      <c r="N6" t="s">
        <v>369</v>
      </c>
      <c r="O6" t="s">
        <v>397</v>
      </c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189"/>
    </row>
    <row r="8" spans="1:15" ht="12" thickTop="1" x14ac:dyDescent="0.2">
      <c r="A8" t="s">
        <v>52</v>
      </c>
      <c r="J8" s="189"/>
    </row>
    <row r="9" spans="1:15" x14ac:dyDescent="0.2">
      <c r="A9" t="s">
        <v>53</v>
      </c>
      <c r="C9" s="235" t="s">
        <v>120</v>
      </c>
      <c r="D9" s="235"/>
      <c r="E9" s="235"/>
      <c r="F9" s="235"/>
      <c r="J9" s="189"/>
      <c r="K9" s="17"/>
    </row>
    <row r="10" spans="1:15" x14ac:dyDescent="0.2">
      <c r="A10" t="s">
        <v>33</v>
      </c>
      <c r="C10" s="11"/>
      <c r="D10" s="11"/>
      <c r="E10" s="11"/>
      <c r="F10" s="11"/>
      <c r="G10" s="11" t="s">
        <v>119</v>
      </c>
      <c r="H10" s="11" t="s">
        <v>457</v>
      </c>
      <c r="I10" s="11"/>
      <c r="J10" s="189"/>
      <c r="K10" s="12"/>
    </row>
    <row r="11" spans="1:15" x14ac:dyDescent="0.2">
      <c r="A11" s="9" t="str">
        <f>TEXT(K52,"m/d")</f>
        <v>9/30</v>
      </c>
      <c r="B11" s="9"/>
      <c r="C11" s="125" t="s">
        <v>116</v>
      </c>
      <c r="D11" s="125" t="s">
        <v>117</v>
      </c>
      <c r="E11" s="125" t="s">
        <v>118</v>
      </c>
      <c r="F11" s="125" t="s">
        <v>24</v>
      </c>
      <c r="G11" s="125" t="s">
        <v>74</v>
      </c>
      <c r="H11" s="125" t="s">
        <v>74</v>
      </c>
      <c r="I11" s="125"/>
      <c r="J11" s="189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44" t="s">
        <v>109</v>
      </c>
      <c r="J12" s="189"/>
    </row>
    <row r="13" spans="1:15" x14ac:dyDescent="0.2">
      <c r="J13" s="189"/>
    </row>
    <row r="14" spans="1:15" x14ac:dyDescent="0.2">
      <c r="A14" s="94">
        <v>1983</v>
      </c>
      <c r="C14" s="42">
        <f>'6.4'!G14</f>
        <v>12.224</v>
      </c>
      <c r="D14" s="42">
        <f>'6.5'!G14</f>
        <v>7.1773264013073157E-2</v>
      </c>
      <c r="E14" s="42">
        <f>'6.6'!G14</f>
        <v>1.6550369131984408</v>
      </c>
      <c r="F14" s="42">
        <f>'6.7'!G14</f>
        <v>1.6872670392664995</v>
      </c>
      <c r="G14" s="22">
        <f>ROUND(SUMPRODUCT(C14:F14,$C$63:$F$63)/$G$63,3)</f>
        <v>5.0940000000000003</v>
      </c>
      <c r="H14" s="20">
        <f t="shared" ref="H14:H44" si="0">G14</f>
        <v>5.0940000000000003</v>
      </c>
      <c r="J14" s="189"/>
    </row>
    <row r="15" spans="1:15" x14ac:dyDescent="0.2">
      <c r="A15" t="str">
        <f>TEXT(A14+1,"#")</f>
        <v>1984</v>
      </c>
      <c r="C15" s="42">
        <f>'6.4'!G15</f>
        <v>3.6999999999999998E-2</v>
      </c>
      <c r="D15" s="42">
        <f>'6.5'!G15</f>
        <v>6.7744125594311408E-2</v>
      </c>
      <c r="E15" s="42">
        <f>'6.6'!G15</f>
        <v>0.24151075632806768</v>
      </c>
      <c r="F15" s="42">
        <f>'6.7'!G15</f>
        <v>0.3845298874263412</v>
      </c>
      <c r="G15" s="22">
        <f t="shared" ref="G15:G50" si="1">ROUND(SUMPRODUCT(C15:F15,$C$63:$F$63)/$G$63,3)</f>
        <v>0.14299999999999999</v>
      </c>
      <c r="H15" s="20">
        <f t="shared" si="0"/>
        <v>0.14299999999999999</v>
      </c>
      <c r="J15" s="189"/>
    </row>
    <row r="16" spans="1:15" x14ac:dyDescent="0.2">
      <c r="A16" t="str">
        <f t="shared" ref="A16:A54" si="2">TEXT(A15+1,"#")</f>
        <v>1985</v>
      </c>
      <c r="C16" s="42">
        <f>'6.4'!G16</f>
        <v>1.9E-2</v>
      </c>
      <c r="D16" s="42">
        <f>'6.5'!G16</f>
        <v>8.2872071690216487E-2</v>
      </c>
      <c r="E16" s="42">
        <f>'6.6'!G16</f>
        <v>8.0633915666968578E-2</v>
      </c>
      <c r="F16" s="42">
        <f>'6.7'!G16</f>
        <v>0.12848011779558008</v>
      </c>
      <c r="G16" s="22">
        <f t="shared" si="1"/>
        <v>0.06</v>
      </c>
      <c r="H16" s="20">
        <f t="shared" si="0"/>
        <v>0.06</v>
      </c>
      <c r="J16" s="189"/>
    </row>
    <row r="17" spans="1:10" x14ac:dyDescent="0.2">
      <c r="A17" t="str">
        <f t="shared" si="2"/>
        <v>1986</v>
      </c>
      <c r="C17" s="42">
        <f>'6.4'!G17</f>
        <v>1.2E-2</v>
      </c>
      <c r="D17" s="42">
        <f>'6.5'!G17</f>
        <v>2.8000000000000001E-2</v>
      </c>
      <c r="E17" s="42">
        <f>'6.6'!G17</f>
        <v>0.21199999999999999</v>
      </c>
      <c r="F17" s="42">
        <f>'6.7'!G17</f>
        <v>0.14099999999999999</v>
      </c>
      <c r="G17" s="22">
        <f t="shared" si="1"/>
        <v>0.111</v>
      </c>
      <c r="H17" s="20">
        <f t="shared" si="0"/>
        <v>0.111</v>
      </c>
      <c r="J17" s="189"/>
    </row>
    <row r="18" spans="1:10" x14ac:dyDescent="0.2">
      <c r="A18" t="str">
        <f t="shared" si="2"/>
        <v>1987</v>
      </c>
      <c r="C18" s="42">
        <f>'6.4'!G18</f>
        <v>6.0000000000000001E-3</v>
      </c>
      <c r="D18" s="42">
        <f>'6.5'!G18</f>
        <v>4.1000000000000002E-2</v>
      </c>
      <c r="E18" s="42">
        <f>'6.6'!G18</f>
        <v>3.6999999999999998E-2</v>
      </c>
      <c r="F18" s="42">
        <f>'6.7'!G18</f>
        <v>7.3999999999999996E-2</v>
      </c>
      <c r="G18" s="22">
        <f t="shared" si="1"/>
        <v>2.7E-2</v>
      </c>
      <c r="H18" s="20">
        <f t="shared" si="0"/>
        <v>2.7E-2</v>
      </c>
      <c r="J18" s="189"/>
    </row>
    <row r="19" spans="1:10" x14ac:dyDescent="0.2">
      <c r="A19" t="str">
        <f t="shared" si="2"/>
        <v>1988</v>
      </c>
      <c r="C19" s="42">
        <f>'6.4'!G19</f>
        <v>5.5E-2</v>
      </c>
      <c r="D19" s="42">
        <f>'6.5'!G19</f>
        <v>6.8000000000000005E-2</v>
      </c>
      <c r="E19" s="42">
        <f>'6.6'!G19</f>
        <v>0.17899999999999999</v>
      </c>
      <c r="F19" s="42">
        <f>'6.7'!G19</f>
        <v>7.1999999999999995E-2</v>
      </c>
      <c r="G19" s="22">
        <f t="shared" si="1"/>
        <v>0.11600000000000001</v>
      </c>
      <c r="H19" s="20">
        <f t="shared" si="0"/>
        <v>0.11600000000000001</v>
      </c>
      <c r="J19" s="189"/>
    </row>
    <row r="20" spans="1:10" x14ac:dyDescent="0.2">
      <c r="A20" t="str">
        <f t="shared" si="2"/>
        <v>1989</v>
      </c>
      <c r="C20" s="42">
        <f>'6.4'!G20</f>
        <v>0.06</v>
      </c>
      <c r="D20" s="42">
        <f>'6.5'!G20</f>
        <v>6.2E-2</v>
      </c>
      <c r="E20" s="42">
        <f>'6.6'!G20</f>
        <v>9.0999999999999998E-2</v>
      </c>
      <c r="F20" s="42">
        <f>'6.7'!G20</f>
        <v>0.16800000000000001</v>
      </c>
      <c r="G20" s="22">
        <f t="shared" si="1"/>
        <v>7.5999999999999998E-2</v>
      </c>
      <c r="H20" s="20">
        <f t="shared" si="0"/>
        <v>7.5999999999999998E-2</v>
      </c>
      <c r="J20" s="189"/>
    </row>
    <row r="21" spans="1:10" x14ac:dyDescent="0.2">
      <c r="A21" t="str">
        <f t="shared" si="2"/>
        <v>1990</v>
      </c>
      <c r="C21" s="42">
        <f>'6.4'!G21</f>
        <v>0.32200000000000001</v>
      </c>
      <c r="D21" s="42">
        <f>'6.5'!G21</f>
        <v>0.11600000000000001</v>
      </c>
      <c r="E21" s="42">
        <f>'6.6'!G21</f>
        <v>0.11799999999999999</v>
      </c>
      <c r="F21" s="42">
        <f>'6.7'!G21</f>
        <v>0.23799999999999999</v>
      </c>
      <c r="G21" s="22">
        <f t="shared" si="1"/>
        <v>0.191</v>
      </c>
      <c r="H21" s="20">
        <f t="shared" si="0"/>
        <v>0.191</v>
      </c>
      <c r="J21" s="189"/>
    </row>
    <row r="22" spans="1:10" x14ac:dyDescent="0.2">
      <c r="A22" t="str">
        <f t="shared" si="2"/>
        <v>1991</v>
      </c>
      <c r="C22" s="42">
        <f>'6.4'!G22</f>
        <v>0.745</v>
      </c>
      <c r="D22" s="42">
        <f>'6.5'!G22</f>
        <v>0.16400000000000001</v>
      </c>
      <c r="E22" s="42">
        <f>'6.6'!G22</f>
        <v>1.319</v>
      </c>
      <c r="F22" s="42">
        <f>'6.7'!G22</f>
        <v>0.19600000000000001</v>
      </c>
      <c r="G22" s="22">
        <f t="shared" si="1"/>
        <v>0.91200000000000003</v>
      </c>
      <c r="H22" s="20">
        <f t="shared" si="0"/>
        <v>0.91200000000000003</v>
      </c>
      <c r="J22" s="189"/>
    </row>
    <row r="23" spans="1:10" x14ac:dyDescent="0.2">
      <c r="A23" t="str">
        <f t="shared" si="2"/>
        <v>1992</v>
      </c>
      <c r="B23" s="12"/>
      <c r="C23" s="42">
        <f>'6.4'!G23</f>
        <v>1.2E-2</v>
      </c>
      <c r="D23" s="42">
        <f>'6.5'!G23</f>
        <v>0.11799999999999999</v>
      </c>
      <c r="E23" s="42">
        <f>'6.6'!G23</f>
        <v>0.08</v>
      </c>
      <c r="F23" s="42">
        <f>'6.7'!G23</f>
        <v>0.18099999999999999</v>
      </c>
      <c r="G23" s="22">
        <f t="shared" si="1"/>
        <v>6.4000000000000001E-2</v>
      </c>
      <c r="H23" s="20">
        <f t="shared" si="0"/>
        <v>6.4000000000000001E-2</v>
      </c>
      <c r="J23" s="189"/>
    </row>
    <row r="24" spans="1:10" x14ac:dyDescent="0.2">
      <c r="A24" t="str">
        <f t="shared" si="2"/>
        <v>1993</v>
      </c>
      <c r="B24" s="12"/>
      <c r="C24" s="42">
        <f>'6.4'!G24</f>
        <v>9.2999999999999999E-2</v>
      </c>
      <c r="D24" s="42">
        <f>'6.5'!G24</f>
        <v>8.3000000000000004E-2</v>
      </c>
      <c r="E24" s="42">
        <f>'6.6'!G24</f>
        <v>0.06</v>
      </c>
      <c r="F24" s="42">
        <f>'6.7'!G24</f>
        <v>0.161</v>
      </c>
      <c r="G24" s="22">
        <f t="shared" si="1"/>
        <v>7.6999999999999999E-2</v>
      </c>
      <c r="H24" s="20">
        <f t="shared" si="0"/>
        <v>7.6999999999999999E-2</v>
      </c>
      <c r="J24" s="189"/>
    </row>
    <row r="25" spans="1:10" x14ac:dyDescent="0.2">
      <c r="A25" t="str">
        <f t="shared" si="2"/>
        <v>1994</v>
      </c>
      <c r="B25" s="12"/>
      <c r="C25" s="42">
        <f>'6.4'!G25</f>
        <v>1.9E-2</v>
      </c>
      <c r="D25" s="42">
        <f>'6.5'!G25</f>
        <v>4.9000000000000002E-2</v>
      </c>
      <c r="E25" s="42">
        <f>'6.6'!G25</f>
        <v>5.3999999999999999E-2</v>
      </c>
      <c r="F25" s="42">
        <f>'6.7'!G25</f>
        <v>6.4000000000000001E-2</v>
      </c>
      <c r="G25" s="22">
        <f t="shared" si="1"/>
        <v>4.1000000000000002E-2</v>
      </c>
      <c r="H25" s="20">
        <f t="shared" si="0"/>
        <v>4.1000000000000002E-2</v>
      </c>
      <c r="J25" s="189"/>
    </row>
    <row r="26" spans="1:10" x14ac:dyDescent="0.2">
      <c r="A26" t="str">
        <f t="shared" si="2"/>
        <v>1995</v>
      </c>
      <c r="C26" s="42">
        <f>'6.4'!G26</f>
        <v>2.7E-2</v>
      </c>
      <c r="D26" s="42">
        <f>'6.5'!G26</f>
        <v>8.2000000000000003E-2</v>
      </c>
      <c r="E26" s="42">
        <f>'6.6'!G26</f>
        <v>8.2000000000000003E-2</v>
      </c>
      <c r="F26" s="42">
        <f>'6.7'!G26</f>
        <v>0.215</v>
      </c>
      <c r="G26" s="22">
        <f t="shared" si="1"/>
        <v>6.4000000000000001E-2</v>
      </c>
      <c r="H26" s="20">
        <f t="shared" si="0"/>
        <v>6.4000000000000001E-2</v>
      </c>
      <c r="J26" s="189"/>
    </row>
    <row r="27" spans="1:10" x14ac:dyDescent="0.2">
      <c r="A27" t="str">
        <f t="shared" si="2"/>
        <v>1996</v>
      </c>
      <c r="C27" s="42">
        <f>'6.4'!G27</f>
        <v>1.4E-2</v>
      </c>
      <c r="D27" s="42">
        <f>'6.5'!G27</f>
        <v>0.05</v>
      </c>
      <c r="E27" s="42">
        <f>'6.6'!G27</f>
        <v>4.5999999999999999E-2</v>
      </c>
      <c r="F27" s="42">
        <f>'6.7'!G27</f>
        <v>9.5000000000000001E-2</v>
      </c>
      <c r="G27" s="22">
        <f t="shared" si="1"/>
        <v>3.5999999999999997E-2</v>
      </c>
      <c r="H27" s="20">
        <f t="shared" si="0"/>
        <v>3.5999999999999997E-2</v>
      </c>
      <c r="J27" s="189"/>
    </row>
    <row r="28" spans="1:10" x14ac:dyDescent="0.2">
      <c r="A28" t="str">
        <f t="shared" si="2"/>
        <v>1997</v>
      </c>
      <c r="C28" s="42">
        <f>'6.4'!G28</f>
        <v>1.7999999999999999E-2</v>
      </c>
      <c r="D28" s="42">
        <f>'6.5'!G28</f>
        <v>4.2000000000000003E-2</v>
      </c>
      <c r="E28" s="42">
        <f>'6.6'!G28</f>
        <v>6.6000000000000003E-2</v>
      </c>
      <c r="F28" s="42">
        <f>'6.7'!G28</f>
        <v>8.1000000000000003E-2</v>
      </c>
      <c r="G28" s="22">
        <f t="shared" si="1"/>
        <v>4.4999999999999998E-2</v>
      </c>
      <c r="H28" s="20">
        <f t="shared" si="0"/>
        <v>4.4999999999999998E-2</v>
      </c>
      <c r="J28" s="189"/>
    </row>
    <row r="29" spans="1:10" x14ac:dyDescent="0.2">
      <c r="A29" t="str">
        <f t="shared" si="2"/>
        <v>1998</v>
      </c>
      <c r="C29" s="42">
        <f>'6.4'!G29</f>
        <v>0.186</v>
      </c>
      <c r="D29" s="42">
        <f>'6.5'!G29</f>
        <v>0.105</v>
      </c>
      <c r="E29" s="42">
        <f>'6.6'!G29</f>
        <v>0.25800000000000001</v>
      </c>
      <c r="F29" s="42">
        <f>'6.7'!G29</f>
        <v>9.9000000000000005E-2</v>
      </c>
      <c r="G29" s="22">
        <f t="shared" si="1"/>
        <v>0.20499999999999999</v>
      </c>
      <c r="H29" s="20">
        <f t="shared" si="0"/>
        <v>0.20499999999999999</v>
      </c>
      <c r="J29" s="189"/>
    </row>
    <row r="30" spans="1:10" x14ac:dyDescent="0.2">
      <c r="A30" t="str">
        <f t="shared" si="2"/>
        <v>1999</v>
      </c>
      <c r="C30" s="42">
        <f>'6.4'!G30</f>
        <v>0.02</v>
      </c>
      <c r="D30" s="42">
        <f>'6.5'!G30</f>
        <v>0.17199999999999999</v>
      </c>
      <c r="E30" s="42">
        <f>'6.6'!G30</f>
        <v>9.8000000000000004E-2</v>
      </c>
      <c r="F30" s="42">
        <f>'6.7'!G30</f>
        <v>9.9000000000000005E-2</v>
      </c>
      <c r="G30" s="22">
        <f t="shared" si="1"/>
        <v>8.3000000000000004E-2</v>
      </c>
      <c r="H30" s="20">
        <f t="shared" si="0"/>
        <v>8.3000000000000004E-2</v>
      </c>
      <c r="J30" s="189"/>
    </row>
    <row r="31" spans="1:10" x14ac:dyDescent="0.2">
      <c r="A31" t="str">
        <f t="shared" si="2"/>
        <v>2000</v>
      </c>
      <c r="C31" s="42">
        <f>'6.4'!G31</f>
        <v>8.0000000000000002E-3</v>
      </c>
      <c r="D31" s="42">
        <f>'6.5'!G31</f>
        <v>2.1999999999999999E-2</v>
      </c>
      <c r="E31" s="42">
        <f>'6.6'!G31</f>
        <v>8.7999999999999995E-2</v>
      </c>
      <c r="F31" s="42">
        <f>'6.7'!G31</f>
        <v>0.1</v>
      </c>
      <c r="G31" s="22">
        <f t="shared" si="1"/>
        <v>4.9000000000000002E-2</v>
      </c>
      <c r="H31" s="20">
        <f t="shared" si="0"/>
        <v>4.9000000000000002E-2</v>
      </c>
      <c r="J31" s="189"/>
    </row>
    <row r="32" spans="1:10" x14ac:dyDescent="0.2">
      <c r="A32" t="str">
        <f t="shared" si="2"/>
        <v>2001</v>
      </c>
      <c r="C32" s="42">
        <f>'6.4'!G32</f>
        <v>4.8000000000000001E-2</v>
      </c>
      <c r="D32" s="42">
        <f>'6.5'!G32</f>
        <v>6.8000000000000005E-2</v>
      </c>
      <c r="E32" s="42">
        <f>'6.6'!G32</f>
        <v>7.0000000000000007E-2</v>
      </c>
      <c r="F32" s="42">
        <f>'6.7'!G32</f>
        <v>0.312</v>
      </c>
      <c r="G32" s="22">
        <f t="shared" si="1"/>
        <v>6.5000000000000002E-2</v>
      </c>
      <c r="H32" s="20">
        <f t="shared" si="0"/>
        <v>6.5000000000000002E-2</v>
      </c>
      <c r="J32" s="189"/>
    </row>
    <row r="33" spans="1:14" x14ac:dyDescent="0.2">
      <c r="A33" t="str">
        <f t="shared" si="2"/>
        <v>2002</v>
      </c>
      <c r="C33" s="42">
        <f>'6.4'!G33</f>
        <v>0.23200000000000001</v>
      </c>
      <c r="D33" s="42">
        <f>'6.5'!G33</f>
        <v>5.5E-2</v>
      </c>
      <c r="E33" s="42">
        <f>'6.6'!G33</f>
        <v>0.157</v>
      </c>
      <c r="F33" s="42">
        <f>'6.7'!G33</f>
        <v>0.10100000000000001</v>
      </c>
      <c r="G33" s="22">
        <f t="shared" si="1"/>
        <v>0.16600000000000001</v>
      </c>
      <c r="H33" s="20">
        <f t="shared" si="0"/>
        <v>0.16600000000000001</v>
      </c>
      <c r="J33" s="189"/>
    </row>
    <row r="34" spans="1:14" x14ac:dyDescent="0.2">
      <c r="A34" t="str">
        <f t="shared" si="2"/>
        <v>2003</v>
      </c>
      <c r="C34" s="42">
        <f>'6.4'!G34</f>
        <v>4.9000000000000002E-2</v>
      </c>
      <c r="D34" s="42">
        <f>'6.5'!G34</f>
        <v>7.8E-2</v>
      </c>
      <c r="E34" s="42">
        <f>'6.6'!G34</f>
        <v>0.34799999999999998</v>
      </c>
      <c r="F34" s="42">
        <f>'6.7'!G34</f>
        <v>9.8000000000000004E-2</v>
      </c>
      <c r="G34" s="22">
        <f t="shared" si="1"/>
        <v>0.19500000000000001</v>
      </c>
      <c r="H34" s="20">
        <f t="shared" si="0"/>
        <v>0.19500000000000001</v>
      </c>
      <c r="J34" s="189"/>
    </row>
    <row r="35" spans="1:14" x14ac:dyDescent="0.2">
      <c r="A35" t="str">
        <f t="shared" si="2"/>
        <v>2004</v>
      </c>
      <c r="B35" s="23"/>
      <c r="C35" s="42">
        <f>'6.4'!G35</f>
        <v>1.2E-2</v>
      </c>
      <c r="D35" s="42">
        <f>'6.5'!G35</f>
        <v>1.7999999999999999E-2</v>
      </c>
      <c r="E35" s="42">
        <f>'6.6'!G35</f>
        <v>1.7999999999999999E-2</v>
      </c>
      <c r="F35" s="42">
        <f>'6.7'!G35</f>
        <v>3.6999999999999998E-2</v>
      </c>
      <c r="G35" s="22">
        <f t="shared" si="1"/>
        <v>1.6E-2</v>
      </c>
      <c r="H35" s="20">
        <f t="shared" si="0"/>
        <v>1.6E-2</v>
      </c>
      <c r="J35" s="189"/>
    </row>
    <row r="36" spans="1:14" x14ac:dyDescent="0.2">
      <c r="A36" t="str">
        <f t="shared" si="2"/>
        <v>2005</v>
      </c>
      <c r="C36" s="42">
        <f>'6.4'!G36</f>
        <v>0.48699999999999999</v>
      </c>
      <c r="D36" s="42">
        <f>'6.5'!G36</f>
        <v>2.5999999999999999E-2</v>
      </c>
      <c r="E36" s="42">
        <f>'6.6'!G36</f>
        <v>1.9390000000000001</v>
      </c>
      <c r="F36" s="42">
        <f>'6.7'!G36</f>
        <v>0.35399999999999998</v>
      </c>
      <c r="G36" s="22">
        <f t="shared" si="1"/>
        <v>1.093</v>
      </c>
      <c r="H36" s="20">
        <f t="shared" si="0"/>
        <v>1.093</v>
      </c>
      <c r="J36" s="189"/>
    </row>
    <row r="37" spans="1:14" x14ac:dyDescent="0.2">
      <c r="A37" t="str">
        <f t="shared" si="2"/>
        <v>2006</v>
      </c>
      <c r="B37" s="23"/>
      <c r="C37" s="42">
        <f>'6.4'!G37</f>
        <v>0.01</v>
      </c>
      <c r="D37" s="42">
        <f>'6.5'!G37</f>
        <v>1.6E-2</v>
      </c>
      <c r="E37" s="42">
        <f>'6.6'!G37</f>
        <v>2.5999999999999999E-2</v>
      </c>
      <c r="F37" s="42">
        <f>'6.7'!G37</f>
        <v>4.7E-2</v>
      </c>
      <c r="G37" s="22">
        <f t="shared" si="1"/>
        <v>1.9E-2</v>
      </c>
      <c r="H37" s="20">
        <f t="shared" si="0"/>
        <v>1.9E-2</v>
      </c>
      <c r="J37" s="189"/>
    </row>
    <row r="38" spans="1:14" x14ac:dyDescent="0.2">
      <c r="A38" t="str">
        <f t="shared" si="2"/>
        <v>2007</v>
      </c>
      <c r="B38" s="23"/>
      <c r="C38" s="42">
        <f>'6.4'!G38</f>
        <v>2.5000000000000001E-2</v>
      </c>
      <c r="D38" s="42">
        <f>'6.5'!G38</f>
        <v>1.4999999999999999E-2</v>
      </c>
      <c r="E38" s="42">
        <f>'6.6'!G38</f>
        <v>7.9000000000000001E-2</v>
      </c>
      <c r="F38" s="42">
        <f>'6.7'!G38</f>
        <v>4.7E-2</v>
      </c>
      <c r="G38" s="38">
        <f t="shared" si="1"/>
        <v>4.9000000000000002E-2</v>
      </c>
      <c r="H38" s="20">
        <f t="shared" si="0"/>
        <v>4.9000000000000002E-2</v>
      </c>
      <c r="J38" s="189"/>
    </row>
    <row r="39" spans="1:14" x14ac:dyDescent="0.2">
      <c r="A39" t="str">
        <f t="shared" si="2"/>
        <v>2008</v>
      </c>
      <c r="B39" s="23"/>
      <c r="C39" s="42">
        <f>'6.4'!G39</f>
        <v>6.6150000000000002</v>
      </c>
      <c r="D39" s="42">
        <f>'6.5'!G39</f>
        <v>2.1000000000000001E-2</v>
      </c>
      <c r="E39" s="42">
        <f>'6.6'!G39</f>
        <v>3.64</v>
      </c>
      <c r="F39" s="42">
        <f>'6.7'!G39</f>
        <v>3.9849999999999999</v>
      </c>
      <c r="G39" s="38">
        <f t="shared" si="1"/>
        <v>4.0860000000000003</v>
      </c>
      <c r="H39" s="20">
        <f t="shared" si="0"/>
        <v>4.0860000000000003</v>
      </c>
      <c r="J39" s="189"/>
    </row>
    <row r="40" spans="1:14" x14ac:dyDescent="0.2">
      <c r="A40" t="str">
        <f t="shared" si="2"/>
        <v>2009</v>
      </c>
      <c r="B40" s="23"/>
      <c r="C40" s="42">
        <f>'6.4'!G40</f>
        <v>2.8000000000000001E-2</v>
      </c>
      <c r="D40" s="42">
        <f>'6.5'!G40</f>
        <v>8.0000000000000002E-3</v>
      </c>
      <c r="E40" s="42">
        <f>'6.6'!G40</f>
        <v>1.2E-2</v>
      </c>
      <c r="F40" s="42">
        <f>'6.7'!G40</f>
        <v>8.8999999999999996E-2</v>
      </c>
      <c r="G40" s="22">
        <f t="shared" si="1"/>
        <v>1.7999999999999999E-2</v>
      </c>
      <c r="H40" s="20">
        <f t="shared" si="0"/>
        <v>1.7999999999999999E-2</v>
      </c>
      <c r="J40" s="189"/>
    </row>
    <row r="41" spans="1:14" x14ac:dyDescent="0.2">
      <c r="A41" t="str">
        <f t="shared" si="2"/>
        <v>2010</v>
      </c>
      <c r="B41" s="23"/>
      <c r="C41" s="42">
        <f>'6.4'!G41</f>
        <v>1.0999999999999999E-2</v>
      </c>
      <c r="D41" s="42">
        <f>'6.5'!G41</f>
        <v>5.2999999999999999E-2</v>
      </c>
      <c r="E41" s="42">
        <f>'6.6'!G41</f>
        <v>4.5999999999999999E-2</v>
      </c>
      <c r="F41" s="42">
        <f>'6.7'!G41</f>
        <v>0.104</v>
      </c>
      <c r="G41" s="22">
        <f t="shared" si="1"/>
        <v>3.5999999999999997E-2</v>
      </c>
      <c r="H41" s="20">
        <f t="shared" si="0"/>
        <v>3.5999999999999997E-2</v>
      </c>
      <c r="J41" s="189"/>
    </row>
    <row r="42" spans="1:14" x14ac:dyDescent="0.2">
      <c r="A42" t="str">
        <f t="shared" si="2"/>
        <v>2011</v>
      </c>
      <c r="B42" s="23"/>
      <c r="C42" s="42">
        <f>'6.4'!G42</f>
        <v>0.01</v>
      </c>
      <c r="D42" s="42">
        <f>'6.5'!G42</f>
        <v>0.26</v>
      </c>
      <c r="E42" s="42">
        <f>'6.6'!G42</f>
        <v>0.27100000000000002</v>
      </c>
      <c r="F42" s="42">
        <f>'6.7'!G42</f>
        <v>5.7000000000000002E-2</v>
      </c>
      <c r="G42" s="38">
        <f t="shared" si="1"/>
        <v>0.17499999999999999</v>
      </c>
      <c r="H42" s="20">
        <f t="shared" si="0"/>
        <v>0.17499999999999999</v>
      </c>
      <c r="J42" s="189"/>
    </row>
    <row r="43" spans="1:14" x14ac:dyDescent="0.2">
      <c r="A43" t="str">
        <f t="shared" si="2"/>
        <v>2012</v>
      </c>
      <c r="B43" s="23"/>
      <c r="C43" s="42">
        <f>'6.4'!G43</f>
        <v>7.9000000000000001E-2</v>
      </c>
      <c r="D43" s="42">
        <f>'6.5'!G43</f>
        <v>0.27500000000000002</v>
      </c>
      <c r="E43" s="42">
        <f>'6.6'!G43</f>
        <v>9.0999999999999998E-2</v>
      </c>
      <c r="F43" s="42">
        <f>'6.7'!G43</f>
        <v>0.81</v>
      </c>
      <c r="G43" s="38">
        <f t="shared" si="1"/>
        <v>0.127</v>
      </c>
      <c r="H43" s="20">
        <f t="shared" si="0"/>
        <v>0.127</v>
      </c>
      <c r="J43" s="189"/>
    </row>
    <row r="44" spans="1:14" x14ac:dyDescent="0.2">
      <c r="A44" t="str">
        <f t="shared" si="2"/>
        <v>2013</v>
      </c>
      <c r="B44" s="23"/>
      <c r="C44" s="42">
        <f>'6.4'!G44</f>
        <v>0.38800000000000001</v>
      </c>
      <c r="D44" s="42">
        <f>'6.5'!G44</f>
        <v>8.6999999999999994E-2</v>
      </c>
      <c r="E44" s="42">
        <f>'6.6'!G44</f>
        <v>2.7E-2</v>
      </c>
      <c r="F44" s="42">
        <f>'6.7'!G44</f>
        <v>0.187</v>
      </c>
      <c r="G44" s="38">
        <f t="shared" si="1"/>
        <v>0.16500000000000001</v>
      </c>
      <c r="H44" s="20">
        <f t="shared" si="0"/>
        <v>0.16500000000000001</v>
      </c>
      <c r="J44" s="189"/>
      <c r="N44" t="s">
        <v>366</v>
      </c>
    </row>
    <row r="45" spans="1:14" x14ac:dyDescent="0.2">
      <c r="A45" t="str">
        <f t="shared" si="2"/>
        <v>2014</v>
      </c>
      <c r="B45" s="23"/>
      <c r="C45" s="20">
        <f>'6.4'!G45</f>
        <v>5.0000000000000001E-3</v>
      </c>
      <c r="D45" s="20">
        <f>'6.5'!G45</f>
        <v>2.3E-2</v>
      </c>
      <c r="E45" s="20">
        <f>'6.6'!G45</f>
        <v>2.9000000000000001E-2</v>
      </c>
      <c r="F45" s="20">
        <f>'6.7'!G45</f>
        <v>0.16800000000000001</v>
      </c>
      <c r="G45" s="109">
        <f t="shared" si="1"/>
        <v>2.1000000000000001E-2</v>
      </c>
      <c r="H45" s="20">
        <f t="shared" ref="H45:H53" si="3">G45*N45</f>
        <v>2.1000000000000001E-2</v>
      </c>
      <c r="J45" s="189"/>
      <c r="M45" t="str">
        <f>A45</f>
        <v>2014</v>
      </c>
      <c r="N45" s="97">
        <v>1</v>
      </c>
    </row>
    <row r="46" spans="1:14" x14ac:dyDescent="0.2">
      <c r="A46" t="str">
        <f t="shared" si="2"/>
        <v>2015</v>
      </c>
      <c r="B46" s="23"/>
      <c r="C46" s="20">
        <f>'6.4'!G46</f>
        <v>0.121</v>
      </c>
      <c r="D46" s="20">
        <f>'6.5'!G46</f>
        <v>0.11600000000000001</v>
      </c>
      <c r="E46" s="20">
        <f>'6.6'!G46</f>
        <v>0.35699999999999998</v>
      </c>
      <c r="F46" s="20">
        <f>'6.7'!G46</f>
        <v>0.33400000000000002</v>
      </c>
      <c r="G46" s="109">
        <f t="shared" si="1"/>
        <v>0.23400000000000001</v>
      </c>
      <c r="H46" s="20">
        <f t="shared" ca="1" si="3"/>
        <v>0.23400000000000001</v>
      </c>
      <c r="J46" s="189"/>
      <c r="M46" t="str">
        <f t="shared" ref="M46:M54" si="4">A46</f>
        <v>2015</v>
      </c>
      <c r="N46" s="97">
        <f ca="1">OFFSET('3.1 ldf'!$C$46,0,$M$54-M46)</f>
        <v>1</v>
      </c>
    </row>
    <row r="47" spans="1:14" x14ac:dyDescent="0.2">
      <c r="A47" t="str">
        <f t="shared" si="2"/>
        <v>2016</v>
      </c>
      <c r="B47" s="23"/>
      <c r="C47" s="20">
        <f>'6.4'!G47</f>
        <v>7.9000000000000001E-2</v>
      </c>
      <c r="D47" s="20">
        <f>'6.5'!G47</f>
        <v>0.121</v>
      </c>
      <c r="E47" s="20">
        <f>'6.6'!G47</f>
        <v>6.0999999999999999E-2</v>
      </c>
      <c r="F47" s="20">
        <f>'6.7'!G47</f>
        <v>0.34399999999999997</v>
      </c>
      <c r="G47" s="109">
        <f t="shared" si="1"/>
        <v>8.1000000000000003E-2</v>
      </c>
      <c r="H47" s="20">
        <f t="shared" ca="1" si="3"/>
        <v>8.1000000000000003E-2</v>
      </c>
      <c r="J47" s="189"/>
      <c r="M47" t="str">
        <f t="shared" si="4"/>
        <v>2016</v>
      </c>
      <c r="N47" s="97">
        <f ca="1">OFFSET('3.1 ldf'!$C$46,0,$M$54-M47)</f>
        <v>1</v>
      </c>
    </row>
    <row r="48" spans="1:14" x14ac:dyDescent="0.2">
      <c r="A48" t="str">
        <f t="shared" si="2"/>
        <v>2017</v>
      </c>
      <c r="B48" s="23"/>
      <c r="C48" s="20">
        <f>'6.4'!G48</f>
        <v>0.29499999999999998</v>
      </c>
      <c r="D48" s="20">
        <f>'6.5'!G48</f>
        <v>3.266</v>
      </c>
      <c r="E48" s="20">
        <f>'6.6'!G48</f>
        <v>3.0259999999999998</v>
      </c>
      <c r="F48" s="20">
        <f>'6.7'!G48</f>
        <v>0.58099999999999996</v>
      </c>
      <c r="G48" s="109">
        <f t="shared" si="1"/>
        <v>2.0779999999999998</v>
      </c>
      <c r="H48" s="20">
        <f t="shared" ca="1" si="3"/>
        <v>2.0779999999999998</v>
      </c>
      <c r="J48" s="189"/>
      <c r="M48" t="str">
        <f t="shared" si="4"/>
        <v>2017</v>
      </c>
      <c r="N48" s="97">
        <f ca="1">OFFSET('3.1 ldf'!$C$46,0,$M$54-M48)</f>
        <v>1</v>
      </c>
    </row>
    <row r="49" spans="1:14" x14ac:dyDescent="0.2">
      <c r="A49" t="str">
        <f t="shared" si="2"/>
        <v>2018</v>
      </c>
      <c r="C49" s="20">
        <f>'6.4'!G49</f>
        <v>2.4E-2</v>
      </c>
      <c r="D49" s="20">
        <f>'6.5'!G49</f>
        <v>0.02</v>
      </c>
      <c r="E49" s="20">
        <f>'6.6'!G49</f>
        <v>4.2999999999999997E-2</v>
      </c>
      <c r="F49" s="20">
        <f>'6.7'!G49</f>
        <v>9.9000000000000005E-2</v>
      </c>
      <c r="G49" s="109">
        <f t="shared" si="1"/>
        <v>3.3000000000000002E-2</v>
      </c>
      <c r="H49" s="20">
        <f t="shared" ca="1" si="3"/>
        <v>3.3000000000000002E-2</v>
      </c>
      <c r="J49" s="189"/>
      <c r="M49" t="str">
        <f t="shared" si="4"/>
        <v>2018</v>
      </c>
      <c r="N49" s="97">
        <f ca="1">OFFSET('3.1 ldf'!$C$46,0,$M$54-M49)</f>
        <v>1</v>
      </c>
    </row>
    <row r="50" spans="1:14" x14ac:dyDescent="0.2">
      <c r="A50" t="str">
        <f t="shared" si="2"/>
        <v>2019</v>
      </c>
      <c r="C50" s="20">
        <f>'6.4'!G50</f>
        <v>5.1999999999999998E-2</v>
      </c>
      <c r="D50" s="20">
        <f>'6.5'!G50</f>
        <v>1.7000000000000001E-2</v>
      </c>
      <c r="E50" s="20">
        <f>'6.6'!G50</f>
        <v>8.3000000000000004E-2</v>
      </c>
      <c r="F50" s="20">
        <f>'6.7'!G50</f>
        <v>0.309</v>
      </c>
      <c r="G50" s="109">
        <f t="shared" si="1"/>
        <v>6.4000000000000001E-2</v>
      </c>
      <c r="H50" s="20">
        <f t="shared" ca="1" si="3"/>
        <v>6.4000000000000001E-2</v>
      </c>
      <c r="J50" s="189"/>
      <c r="M50" t="str">
        <f t="shared" si="4"/>
        <v>2019</v>
      </c>
      <c r="N50" s="97">
        <f ca="1">OFFSET('3.1 ldf'!$C$46,0,$M$54-M50)</f>
        <v>1</v>
      </c>
    </row>
    <row r="51" spans="1:14" x14ac:dyDescent="0.2">
      <c r="A51" t="str">
        <f t="shared" si="2"/>
        <v>2020</v>
      </c>
      <c r="C51" s="20">
        <f>'6.4'!G51</f>
        <v>5.3999999999999999E-2</v>
      </c>
      <c r="D51" s="20">
        <f>'6.5'!G51</f>
        <v>0.04</v>
      </c>
      <c r="E51" s="20">
        <f>'6.6'!G51</f>
        <v>0.21099999999999999</v>
      </c>
      <c r="F51" s="20">
        <f>'6.7'!G51</f>
        <v>0.44600000000000001</v>
      </c>
      <c r="G51" s="109">
        <f t="shared" ref="G51" si="5">ROUND(SUMPRODUCT(C51:F51,$C$63:$F$63)/$G$63,3)</f>
        <v>0.13100000000000001</v>
      </c>
      <c r="H51" s="20">
        <f t="shared" ca="1" si="3"/>
        <v>0.131131</v>
      </c>
      <c r="J51" s="189"/>
      <c r="K51" t="s">
        <v>198</v>
      </c>
      <c r="M51" t="str">
        <f t="shared" si="4"/>
        <v>2020</v>
      </c>
      <c r="N51" s="97">
        <f ca="1">OFFSET('3.1 ldf'!$C$46,0,$M$54-M51)</f>
        <v>1.0009999999999999</v>
      </c>
    </row>
    <row r="52" spans="1:14" x14ac:dyDescent="0.2">
      <c r="A52" t="str">
        <f t="shared" si="2"/>
        <v>2021</v>
      </c>
      <c r="C52" s="20">
        <f>'6.4'!G52</f>
        <v>0.24399999999999999</v>
      </c>
      <c r="D52" s="20">
        <f>'6.5'!G52</f>
        <v>2.3E-2</v>
      </c>
      <c r="E52" s="20">
        <f>'6.6'!G52</f>
        <v>0.31900000000000001</v>
      </c>
      <c r="F52" s="20">
        <f>'6.7'!G52</f>
        <v>0.432</v>
      </c>
      <c r="G52" s="109">
        <f t="shared" ref="G52" si="6">ROUND(SUMPRODUCT(C52:F52,$C$63:$F$63)/$G$63,3)</f>
        <v>0.245</v>
      </c>
      <c r="H52" s="20">
        <f t="shared" ca="1" si="3"/>
        <v>0.24622499999999997</v>
      </c>
      <c r="J52" s="189"/>
      <c r="K52" s="37">
        <f>'6.4'!K$56</f>
        <v>45199</v>
      </c>
      <c r="M52" t="str">
        <f t="shared" si="4"/>
        <v>2021</v>
      </c>
      <c r="N52" s="97">
        <f ca="1">OFFSET('3.1 ldf'!$C$46,0,$M$54-M52)</f>
        <v>1.0049999999999999</v>
      </c>
    </row>
    <row r="53" spans="1:14" x14ac:dyDescent="0.2">
      <c r="A53" t="str">
        <f t="shared" si="2"/>
        <v>2022</v>
      </c>
      <c r="C53" s="20">
        <f>'6.4'!G53</f>
        <v>8.8999999999999996E-2</v>
      </c>
      <c r="D53" s="20">
        <f>'6.5'!G53</f>
        <v>2.1999999999999999E-2</v>
      </c>
      <c r="E53" s="20">
        <f>'6.6'!G53</f>
        <v>9.8000000000000004E-2</v>
      </c>
      <c r="F53" s="20">
        <f>'6.7'!G53</f>
        <v>0.188</v>
      </c>
      <c r="G53" s="109">
        <f t="shared" ref="G53" si="7">ROUND(SUMPRODUCT(C53:F53,$C$63:$F$63)/$G$63,3)</f>
        <v>8.3000000000000004E-2</v>
      </c>
      <c r="H53" s="20">
        <f t="shared" ca="1" si="3"/>
        <v>8.5074999999999998E-2</v>
      </c>
      <c r="J53" s="189"/>
      <c r="M53" t="str">
        <f t="shared" si="4"/>
        <v>2022</v>
      </c>
      <c r="N53" s="97">
        <f ca="1">OFFSET('3.1 ldf'!$C$46,0,$M$54-M53)</f>
        <v>1.0249999999999999</v>
      </c>
    </row>
    <row r="54" spans="1:14" x14ac:dyDescent="0.2">
      <c r="A54" t="str">
        <f t="shared" si="2"/>
        <v>2023</v>
      </c>
      <c r="C54" s="20">
        <f>'6.4'!G54</f>
        <v>0.18</v>
      </c>
      <c r="D54" s="20">
        <f>'6.5'!G54</f>
        <v>2.5999999999999999E-2</v>
      </c>
      <c r="E54" s="20">
        <f>'6.6'!G54</f>
        <v>0.14699999999999999</v>
      </c>
      <c r="F54" s="20">
        <f>'6.7'!G54</f>
        <v>0.41499999999999998</v>
      </c>
      <c r="G54" s="109">
        <f t="shared" ref="G54" si="8">ROUND(SUMPRODUCT(C54:F54,$C$63:$F$63)/$G$63,3)</f>
        <v>0.14199999999999999</v>
      </c>
      <c r="H54" s="20">
        <f ca="1">G54*N54</f>
        <v>0.16755999999999999</v>
      </c>
      <c r="J54" s="189"/>
      <c r="M54" t="str">
        <f t="shared" si="4"/>
        <v>2023</v>
      </c>
      <c r="N54" s="97">
        <f ca="1">OFFSET('3.1 ldf'!$C$46,0,$M$54-M54)</f>
        <v>1.18</v>
      </c>
    </row>
    <row r="55" spans="1:14" x14ac:dyDescent="0.2">
      <c r="C55" s="20"/>
      <c r="D55" s="20"/>
      <c r="E55" s="20"/>
      <c r="F55" s="20"/>
      <c r="G55" s="109"/>
      <c r="H55" s="20"/>
      <c r="J55" s="189"/>
      <c r="M55" s="23"/>
      <c r="N55" s="97"/>
    </row>
    <row r="56" spans="1:14" x14ac:dyDescent="0.2">
      <c r="A56" t="s">
        <v>68</v>
      </c>
      <c r="C56" s="38">
        <f>ROUND(AVERAGE(C14:C55),3)</f>
        <v>0.56100000000000005</v>
      </c>
      <c r="D56" s="38">
        <f t="shared" ref="D56:H56" si="9">ROUND(AVERAGE(D14:D55),3)</f>
        <v>0.14799999999999999</v>
      </c>
      <c r="E56" s="38">
        <f t="shared" si="9"/>
        <v>0.38700000000000001</v>
      </c>
      <c r="F56" s="38">
        <f t="shared" si="9"/>
        <v>0.33500000000000002</v>
      </c>
      <c r="G56" s="38">
        <f t="shared" si="9"/>
        <v>0.40799999999999997</v>
      </c>
      <c r="H56" s="38">
        <f t="shared" ca="1" si="9"/>
        <v>0.40799999999999997</v>
      </c>
      <c r="J56" s="189"/>
    </row>
    <row r="57" spans="1:14" x14ac:dyDescent="0.2">
      <c r="J57" s="189"/>
    </row>
    <row r="58" spans="1:14" x14ac:dyDescent="0.2">
      <c r="C58" s="235" t="str">
        <f>"TWIA "&amp;YEAR('2.1'!$L$9)&amp;" Written Premium by Territory / Tier"</f>
        <v>TWIA 2023 Written Premium by Territory / Tier</v>
      </c>
      <c r="D58" s="235"/>
      <c r="E58" s="235"/>
      <c r="F58" s="235"/>
      <c r="J58" s="189"/>
    </row>
    <row r="59" spans="1:14" x14ac:dyDescent="0.2">
      <c r="J59" s="189"/>
    </row>
    <row r="60" spans="1:14" x14ac:dyDescent="0.2">
      <c r="A60" s="9"/>
      <c r="B60" s="9"/>
      <c r="C60" s="125" t="s">
        <v>116</v>
      </c>
      <c r="D60" s="125" t="s">
        <v>117</v>
      </c>
      <c r="E60" s="125" t="s">
        <v>118</v>
      </c>
      <c r="F60" s="125" t="s">
        <v>24</v>
      </c>
      <c r="G60" s="125" t="s">
        <v>9</v>
      </c>
      <c r="H60" s="9"/>
      <c r="I60" s="9"/>
      <c r="J60" s="189"/>
    </row>
    <row r="61" spans="1:14" x14ac:dyDescent="0.2">
      <c r="J61" s="189"/>
    </row>
    <row r="62" spans="1:14" x14ac:dyDescent="0.2">
      <c r="A62" s="41" t="s">
        <v>108</v>
      </c>
      <c r="B62" t="s">
        <v>27</v>
      </c>
      <c r="C62" s="26">
        <f>'2.1'!$C$14</f>
        <v>183156184</v>
      </c>
      <c r="D62" s="26">
        <f>'2.1'!$C$15</f>
        <v>86684858</v>
      </c>
      <c r="E62" s="26">
        <f>'2.1'!$C$16</f>
        <v>246412664</v>
      </c>
      <c r="F62" s="26">
        <f>'2.1'!$C$17</f>
        <v>6678115</v>
      </c>
      <c r="G62" s="19">
        <f>SUM(C62:F62)</f>
        <v>522931821</v>
      </c>
      <c r="J62" s="189"/>
    </row>
    <row r="63" spans="1:14" x14ac:dyDescent="0.2">
      <c r="A63" s="41" t="s">
        <v>107</v>
      </c>
      <c r="B63" t="s">
        <v>121</v>
      </c>
      <c r="C63" s="20">
        <f>ROUND(C62/$G62,4)</f>
        <v>0.35020000000000001</v>
      </c>
      <c r="D63" s="20">
        <f>ROUND(D62/$G62,4)</f>
        <v>0.1658</v>
      </c>
      <c r="E63" s="20">
        <f>ROUND(E62/$G62,4)</f>
        <v>0.47120000000000001</v>
      </c>
      <c r="F63" s="20">
        <f>ROUND(F62/$G62,4)</f>
        <v>1.2800000000000001E-2</v>
      </c>
      <c r="G63" s="20">
        <f>SUM(C63:F63)</f>
        <v>1</v>
      </c>
      <c r="J63" s="189"/>
    </row>
    <row r="64" spans="1:14" ht="12" thickBot="1" x14ac:dyDescent="0.25">
      <c r="A64" s="6"/>
      <c r="B64" s="6"/>
      <c r="C64" s="6"/>
      <c r="D64" s="6"/>
      <c r="E64" s="6"/>
      <c r="F64" s="6"/>
      <c r="G64" s="6"/>
      <c r="H64" s="6"/>
      <c r="I64" s="6"/>
      <c r="J64" s="189"/>
    </row>
    <row r="65" spans="1:10" ht="12" thickTop="1" x14ac:dyDescent="0.2">
      <c r="J65" s="189"/>
    </row>
    <row r="66" spans="1:10" x14ac:dyDescent="0.2">
      <c r="A66" t="s">
        <v>17</v>
      </c>
      <c r="J66" s="189"/>
    </row>
    <row r="67" spans="1:10" x14ac:dyDescent="0.2">
      <c r="B67" s="12" t="str">
        <f>C12&amp;" "&amp;'6.4'!$I$1&amp;", "&amp;'6.4'!$I$2</f>
        <v>(2) Exhibit 6, Sheet 4</v>
      </c>
      <c r="J67" s="189"/>
    </row>
    <row r="68" spans="1:10" x14ac:dyDescent="0.2">
      <c r="B68" s="12" t="str">
        <f>D12&amp;" "&amp;'6.5'!$I$1&amp;", "&amp;'6.5'!$I$2</f>
        <v>(3) Exhibit 6, Sheet 5</v>
      </c>
      <c r="J68" s="189"/>
    </row>
    <row r="69" spans="1:10" x14ac:dyDescent="0.2">
      <c r="B69" s="12" t="str">
        <f>E12&amp;" "&amp;'6.6'!$I$1&amp;", "&amp;'6.6'!$I$2</f>
        <v>(4) Exhibit 6, Sheet 6</v>
      </c>
      <c r="J69" s="189"/>
    </row>
    <row r="70" spans="1:10" x14ac:dyDescent="0.2">
      <c r="B70" s="12" t="str">
        <f>F12&amp;" "&amp;'6.7'!$I$1&amp;", "&amp;'6.7'!$I$2</f>
        <v>(5) Exhibit 6, Sheet 7</v>
      </c>
      <c r="J70" s="189"/>
    </row>
    <row r="71" spans="1:10" x14ac:dyDescent="0.2">
      <c r="B71" s="12" t="str">
        <f>G12&amp;" = Weighted average of "&amp;C12&amp;" to "&amp;F12&amp;", using "&amp;A63</f>
        <v>(6) = Weighted average of (2) to (5), using (9)</v>
      </c>
      <c r="J71" s="189"/>
    </row>
    <row r="72" spans="1:10" x14ac:dyDescent="0.2">
      <c r="B72" t="str">
        <f>"(7) = (6) * loss development factors from "&amp;'3.1 ldf'!L1&amp;", "&amp;'3.1 ldf'!L2</f>
        <v>(7) = (6) * loss development factors from Exhibit 3, Sheet 1</v>
      </c>
      <c r="D72" s="42"/>
      <c r="E72" s="42"/>
      <c r="F72" s="42"/>
      <c r="G72" s="22"/>
      <c r="J72" s="189"/>
    </row>
    <row r="73" spans="1:10" x14ac:dyDescent="0.2">
      <c r="B73" s="23" t="str">
        <f>A62&amp;" Provided by TWIA"</f>
        <v>(8) Provided by TWIA</v>
      </c>
      <c r="J73" s="189"/>
    </row>
    <row r="74" spans="1:10" x14ac:dyDescent="0.2">
      <c r="B74" s="23" t="str">
        <f>A63&amp;" = "&amp;A62&amp;" / "&amp;A62&amp;" Total"</f>
        <v>(9) = (8) / (8) Total</v>
      </c>
      <c r="J74" s="189"/>
    </row>
    <row r="75" spans="1:10" ht="12" thickBot="1" x14ac:dyDescent="0.25">
      <c r="B75" s="23"/>
      <c r="J75" s="189"/>
    </row>
    <row r="76" spans="1:10" ht="12" thickBot="1" x14ac:dyDescent="0.25">
      <c r="A76" s="4"/>
      <c r="B76" s="5"/>
      <c r="C76" s="5"/>
      <c r="D76" s="5"/>
      <c r="E76" s="5"/>
      <c r="F76" s="5"/>
      <c r="G76" s="5"/>
      <c r="H76" s="5"/>
      <c r="I76" s="5"/>
      <c r="J76" s="190"/>
    </row>
  </sheetData>
  <phoneticPr fontId="0" type="noConversion"/>
  <pageMargins left="0.5" right="0.5" top="0.5" bottom="0.5" header="0.5" footer="0.5"/>
  <pageSetup scale="93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>
    <tabColor rgb="FF00FF00"/>
  </sheetPr>
  <dimension ref="A1:BK66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3" max="13" width="0" hidden="1" customWidth="1"/>
    <col min="14" max="14" width="12.6640625" hidden="1" customWidth="1"/>
    <col min="15" max="16" width="0" hidden="1" customWidth="1"/>
    <col min="21" max="21" width="3.83203125" bestFit="1" customWidth="1"/>
    <col min="22" max="63" width="7" bestFit="1" customWidth="1"/>
  </cols>
  <sheetData>
    <row r="1" spans="1:63" x14ac:dyDescent="0.2">
      <c r="A1" s="8" t="str">
        <f>'1'!$A$1</f>
        <v>Texas Windstorm Insurance Association</v>
      </c>
      <c r="B1" s="12"/>
      <c r="I1" s="7" t="s">
        <v>92</v>
      </c>
      <c r="J1" s="1"/>
      <c r="R1" t="s">
        <v>369</v>
      </c>
      <c r="S1" t="s">
        <v>385</v>
      </c>
    </row>
    <row r="2" spans="1:63" x14ac:dyDescent="0.2">
      <c r="A2" s="8" t="str">
        <f>'1'!$A$2</f>
        <v>Residential Property - Wind &amp; Hail</v>
      </c>
      <c r="B2" s="12"/>
      <c r="I2" s="7" t="s">
        <v>85</v>
      </c>
      <c r="J2" s="2"/>
      <c r="R2" t="s">
        <v>369</v>
      </c>
      <c r="S2" t="s">
        <v>390</v>
      </c>
    </row>
    <row r="3" spans="1:63" x14ac:dyDescent="0.2">
      <c r="A3" s="8" t="str">
        <f>'1'!$A$3</f>
        <v>Rate Level Review</v>
      </c>
      <c r="B3" s="12"/>
      <c r="J3" s="2"/>
      <c r="R3" t="s">
        <v>369</v>
      </c>
      <c r="S3" t="s">
        <v>391</v>
      </c>
    </row>
    <row r="4" spans="1:63" x14ac:dyDescent="0.2">
      <c r="A4" t="s">
        <v>93</v>
      </c>
      <c r="B4" s="12"/>
      <c r="J4" s="2"/>
      <c r="R4" t="s">
        <v>369</v>
      </c>
      <c r="S4" t="s">
        <v>392</v>
      </c>
    </row>
    <row r="5" spans="1:63" x14ac:dyDescent="0.2">
      <c r="A5" t="s">
        <v>31</v>
      </c>
      <c r="B5" s="12"/>
      <c r="J5" s="2"/>
      <c r="R5" t="s">
        <v>369</v>
      </c>
      <c r="S5" t="s">
        <v>393</v>
      </c>
    </row>
    <row r="6" spans="1:63" x14ac:dyDescent="0.2">
      <c r="J6" s="2"/>
    </row>
    <row r="7" spans="1:63" ht="12" thickBot="1" x14ac:dyDescent="0.25">
      <c r="A7" s="6"/>
      <c r="B7" s="6"/>
      <c r="C7" s="6"/>
      <c r="D7" s="6"/>
      <c r="E7" s="6"/>
      <c r="F7" s="6"/>
      <c r="G7" s="6"/>
      <c r="J7" s="2"/>
    </row>
    <row r="8" spans="1:63" ht="12" thickTop="1" x14ac:dyDescent="0.2">
      <c r="A8" t="s">
        <v>52</v>
      </c>
      <c r="J8" s="2"/>
    </row>
    <row r="9" spans="1:63" x14ac:dyDescent="0.2">
      <c r="A9" t="s">
        <v>53</v>
      </c>
      <c r="C9" s="194"/>
      <c r="D9" s="11" t="s">
        <v>36</v>
      </c>
      <c r="E9" s="11" t="s">
        <v>43</v>
      </c>
      <c r="F9" s="11"/>
      <c r="G9" s="11"/>
      <c r="J9" s="2"/>
      <c r="K9" s="17"/>
    </row>
    <row r="10" spans="1:63" x14ac:dyDescent="0.2">
      <c r="A10" t="s">
        <v>33</v>
      </c>
      <c r="C10" s="11" t="s">
        <v>112</v>
      </c>
      <c r="D10" s="11" t="s">
        <v>122</v>
      </c>
      <c r="E10" s="11" t="s">
        <v>41</v>
      </c>
      <c r="F10" s="11" t="s">
        <v>82</v>
      </c>
      <c r="G10" s="11" t="s">
        <v>82</v>
      </c>
      <c r="J10" s="2"/>
      <c r="K10" s="12"/>
      <c r="V10" s="209" t="s">
        <v>427</v>
      </c>
      <c r="W10" s="198"/>
      <c r="X10" s="198"/>
      <c r="Y10" s="198"/>
      <c r="Z10" s="198"/>
    </row>
    <row r="11" spans="1:63" x14ac:dyDescent="0.2">
      <c r="A11" s="9" t="str">
        <f>TEXT(K56,"m/d")</f>
        <v>9/30</v>
      </c>
      <c r="B11" s="9"/>
      <c r="C11" s="125" t="s">
        <v>113</v>
      </c>
      <c r="D11" s="125" t="s">
        <v>123</v>
      </c>
      <c r="E11" s="125" t="s">
        <v>42</v>
      </c>
      <c r="F11" s="125" t="s">
        <v>40</v>
      </c>
      <c r="G11" s="125" t="s">
        <v>74</v>
      </c>
      <c r="H11" s="23"/>
      <c r="J11" s="2"/>
      <c r="K11" s="37"/>
    </row>
    <row r="12" spans="1:6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63" x14ac:dyDescent="0.2">
      <c r="J13" s="2"/>
      <c r="K13" t="s">
        <v>126</v>
      </c>
      <c r="N13" t="s">
        <v>14</v>
      </c>
      <c r="O13" t="s">
        <v>71</v>
      </c>
      <c r="P13" t="s">
        <v>244</v>
      </c>
      <c r="S13" t="s">
        <v>305</v>
      </c>
      <c r="T13" t="s">
        <v>71</v>
      </c>
      <c r="V13" t="s">
        <v>339</v>
      </c>
      <c r="W13">
        <v>1983</v>
      </c>
      <c r="X13">
        <f>W13+1</f>
        <v>1984</v>
      </c>
      <c r="Y13">
        <f t="shared" ref="Y13:BG13" si="0">X13+1</f>
        <v>1985</v>
      </c>
      <c r="Z13">
        <f t="shared" si="0"/>
        <v>1986</v>
      </c>
      <c r="AA13">
        <f t="shared" si="0"/>
        <v>1987</v>
      </c>
      <c r="AB13">
        <f t="shared" si="0"/>
        <v>1988</v>
      </c>
      <c r="AC13">
        <f t="shared" si="0"/>
        <v>1989</v>
      </c>
      <c r="AD13">
        <f t="shared" si="0"/>
        <v>1990</v>
      </c>
      <c r="AE13">
        <f t="shared" si="0"/>
        <v>1991</v>
      </c>
      <c r="AF13">
        <f t="shared" si="0"/>
        <v>1992</v>
      </c>
      <c r="AG13">
        <f t="shared" si="0"/>
        <v>1993</v>
      </c>
      <c r="AH13">
        <f t="shared" si="0"/>
        <v>1994</v>
      </c>
      <c r="AI13">
        <f t="shared" si="0"/>
        <v>1995</v>
      </c>
      <c r="AJ13">
        <f t="shared" si="0"/>
        <v>1996</v>
      </c>
      <c r="AK13">
        <f t="shared" si="0"/>
        <v>1997</v>
      </c>
      <c r="AL13">
        <f t="shared" si="0"/>
        <v>1998</v>
      </c>
      <c r="AM13">
        <f t="shared" si="0"/>
        <v>1999</v>
      </c>
      <c r="AN13">
        <f t="shared" si="0"/>
        <v>2000</v>
      </c>
      <c r="AO13">
        <f t="shared" si="0"/>
        <v>2001</v>
      </c>
      <c r="AP13">
        <f t="shared" si="0"/>
        <v>2002</v>
      </c>
      <c r="AQ13">
        <f t="shared" si="0"/>
        <v>2003</v>
      </c>
      <c r="AR13">
        <f t="shared" si="0"/>
        <v>2004</v>
      </c>
      <c r="AS13">
        <f t="shared" si="0"/>
        <v>2005</v>
      </c>
      <c r="AT13">
        <f t="shared" si="0"/>
        <v>2006</v>
      </c>
      <c r="AU13">
        <f t="shared" si="0"/>
        <v>2007</v>
      </c>
      <c r="AV13">
        <f t="shared" si="0"/>
        <v>2008</v>
      </c>
      <c r="AW13">
        <f t="shared" si="0"/>
        <v>2009</v>
      </c>
      <c r="AX13">
        <f t="shared" si="0"/>
        <v>2010</v>
      </c>
      <c r="AY13">
        <f t="shared" si="0"/>
        <v>2011</v>
      </c>
      <c r="AZ13">
        <f t="shared" si="0"/>
        <v>2012</v>
      </c>
      <c r="BA13">
        <f t="shared" si="0"/>
        <v>2013</v>
      </c>
      <c r="BB13">
        <f t="shared" si="0"/>
        <v>2014</v>
      </c>
      <c r="BC13">
        <f t="shared" si="0"/>
        <v>2015</v>
      </c>
      <c r="BD13">
        <f t="shared" si="0"/>
        <v>2016</v>
      </c>
      <c r="BE13">
        <f t="shared" si="0"/>
        <v>2017</v>
      </c>
      <c r="BF13">
        <f t="shared" si="0"/>
        <v>2018</v>
      </c>
      <c r="BG13">
        <f t="shared" si="0"/>
        <v>2019</v>
      </c>
      <c r="BH13">
        <v>2020</v>
      </c>
      <c r="BI13">
        <v>2021</v>
      </c>
      <c r="BJ13">
        <v>2022</v>
      </c>
      <c r="BK13">
        <v>2023</v>
      </c>
    </row>
    <row r="14" spans="1:63" x14ac:dyDescent="0.2">
      <c r="A14" s="94">
        <v>1983</v>
      </c>
      <c r="C14" s="31">
        <v>4317605</v>
      </c>
      <c r="D14" s="28">
        <f>'6.4'!$K$14</f>
        <v>2.252543431048422</v>
      </c>
      <c r="E14" s="26">
        <f>ROUND(C14*D14,0)</f>
        <v>9725593</v>
      </c>
      <c r="F14" s="31">
        <v>118889570</v>
      </c>
      <c r="G14" s="22">
        <f>ROUND(F14/E14,3)</f>
        <v>12.224</v>
      </c>
      <c r="J14" s="2"/>
      <c r="K14" s="29">
        <f>V14</f>
        <v>2.252543431048422</v>
      </c>
      <c r="L14" s="36"/>
      <c r="M14" t="s">
        <v>243</v>
      </c>
      <c r="N14" s="61">
        <f>1.3/PRODUCT(N15:N17)</f>
        <v>1.1139540074268341</v>
      </c>
      <c r="O14" s="29">
        <f>PRODUCT(N$14:N14)</f>
        <v>1.1139540074268341</v>
      </c>
      <c r="P14" s="29">
        <f>O$29/O14</f>
        <v>2.3493360399540935</v>
      </c>
      <c r="R14" t="s">
        <v>243</v>
      </c>
      <c r="S14" s="195">
        <v>1</v>
      </c>
      <c r="T14" s="29">
        <v>1</v>
      </c>
      <c r="U14" t="s">
        <v>306</v>
      </c>
      <c r="V14" s="76">
        <f>AA54</f>
        <v>2.252543431048422</v>
      </c>
      <c r="W14">
        <v>1</v>
      </c>
      <c r="X14">
        <v>1</v>
      </c>
      <c r="Y14">
        <v>1</v>
      </c>
      <c r="Z14">
        <v>1</v>
      </c>
      <c r="AA14">
        <v>1</v>
      </c>
      <c r="AB14">
        <v>0.5</v>
      </c>
    </row>
    <row r="15" spans="1:63" x14ac:dyDescent="0.2">
      <c r="A15" t="str">
        <f>TEXT(A14+1,"#")</f>
        <v>1984</v>
      </c>
      <c r="C15" s="31">
        <v>3512853</v>
      </c>
      <c r="D15" s="28">
        <f t="shared" ref="D15:D18" si="1">D$14</f>
        <v>2.252543431048422</v>
      </c>
      <c r="E15" s="26">
        <f t="shared" ref="E15:E32" si="2">ROUND(C15*D15,0)</f>
        <v>7912854</v>
      </c>
      <c r="F15" s="31">
        <v>292543</v>
      </c>
      <c r="G15" s="22">
        <f t="shared" ref="G15:G42" si="3">ROUND(F15/E15,3)</f>
        <v>3.6999999999999998E-2</v>
      </c>
      <c r="J15" s="2"/>
      <c r="M15" s="47">
        <v>36161</v>
      </c>
      <c r="N15" s="36">
        <v>0.90600000000000003</v>
      </c>
      <c r="O15" s="29">
        <f>PRODUCT(N$14:N15)</f>
        <v>1.0092423307287117</v>
      </c>
      <c r="P15" s="29">
        <f>O$29/O15</f>
        <v>2.5930861368146725</v>
      </c>
      <c r="R15">
        <v>1988</v>
      </c>
      <c r="S15" s="195">
        <v>0.94599999999999995</v>
      </c>
      <c r="T15" s="29">
        <f>PRODUCT($S$14:S15)</f>
        <v>0.94599999999999995</v>
      </c>
      <c r="U15" t="s">
        <v>307</v>
      </c>
      <c r="V15" s="76">
        <f>AB54</f>
        <v>2.3150497749726844</v>
      </c>
      <c r="AB15">
        <v>0.5</v>
      </c>
      <c r="AC15">
        <v>0.5</v>
      </c>
    </row>
    <row r="16" spans="1:63" x14ac:dyDescent="0.2">
      <c r="A16" t="str">
        <f t="shared" ref="A16:A54" si="4">TEXT(A15+1,"#")</f>
        <v>1985</v>
      </c>
      <c r="C16" s="31">
        <v>6066870</v>
      </c>
      <c r="D16" s="28">
        <f t="shared" si="1"/>
        <v>2.252543431048422</v>
      </c>
      <c r="E16" s="26">
        <f t="shared" si="2"/>
        <v>13665888</v>
      </c>
      <c r="F16" s="31">
        <v>265705</v>
      </c>
      <c r="G16" s="22">
        <f t="shared" si="3"/>
        <v>1.9E-2</v>
      </c>
      <c r="J16" s="2"/>
      <c r="M16" s="47">
        <v>36526</v>
      </c>
      <c r="N16" s="36">
        <v>1.087</v>
      </c>
      <c r="O16" s="29">
        <f>PRODUCT(N$14:N16)</f>
        <v>1.0970464135021096</v>
      </c>
      <c r="P16" s="29">
        <f t="shared" ref="P16:P28" si="5">O$29/O16</f>
        <v>2.3855438241165343</v>
      </c>
      <c r="R16">
        <v>1989</v>
      </c>
      <c r="S16" s="195">
        <v>1</v>
      </c>
      <c r="T16" s="29">
        <f>PRODUCT($S$14:S16)</f>
        <v>0.94599999999999995</v>
      </c>
      <c r="U16" t="s">
        <v>308</v>
      </c>
      <c r="V16" s="76">
        <f>AC54</f>
        <v>2.3811241343006575</v>
      </c>
      <c r="AC16">
        <v>0.5</v>
      </c>
      <c r="AD16">
        <v>0.5</v>
      </c>
    </row>
    <row r="17" spans="1:46" x14ac:dyDescent="0.2">
      <c r="A17" t="str">
        <f t="shared" si="4"/>
        <v>1986</v>
      </c>
      <c r="C17" s="31">
        <v>6846710</v>
      </c>
      <c r="D17" s="28">
        <f t="shared" si="1"/>
        <v>2.252543431048422</v>
      </c>
      <c r="E17" s="26">
        <f t="shared" si="2"/>
        <v>15422512</v>
      </c>
      <c r="F17" s="31">
        <v>187218</v>
      </c>
      <c r="G17" s="22">
        <f t="shared" si="3"/>
        <v>1.2E-2</v>
      </c>
      <c r="J17" s="2"/>
      <c r="M17" s="47">
        <v>36892</v>
      </c>
      <c r="N17" s="36">
        <v>1.1850000000000001</v>
      </c>
      <c r="O17" s="29">
        <f>PRODUCT(N$14:N17)</f>
        <v>1.3</v>
      </c>
      <c r="P17" s="29">
        <f t="shared" si="5"/>
        <v>2.0131171511531933</v>
      </c>
      <c r="R17">
        <v>1990</v>
      </c>
      <c r="S17" s="195">
        <v>1.0309999999999999</v>
      </c>
      <c r="T17" s="29">
        <f>PRODUCT($S$14:S17)</f>
        <v>0.97532599999999992</v>
      </c>
      <c r="U17" t="s">
        <v>309</v>
      </c>
      <c r="V17" s="76">
        <f>AD54</f>
        <v>2.3447800436244783</v>
      </c>
      <c r="AD17">
        <v>0.5</v>
      </c>
      <c r="AE17">
        <v>0.5</v>
      </c>
    </row>
    <row r="18" spans="1:46" x14ac:dyDescent="0.2">
      <c r="A18" t="str">
        <f t="shared" si="4"/>
        <v>1987</v>
      </c>
      <c r="C18" s="31">
        <v>7738740</v>
      </c>
      <c r="D18" s="28">
        <f t="shared" si="1"/>
        <v>2.252543431048422</v>
      </c>
      <c r="E18" s="26">
        <f t="shared" si="2"/>
        <v>17431848</v>
      </c>
      <c r="F18" s="31">
        <v>111242</v>
      </c>
      <c r="G18" s="22">
        <f t="shared" si="3"/>
        <v>6.0000000000000001E-3</v>
      </c>
      <c r="J18" s="2"/>
      <c r="M18" s="47">
        <v>37987</v>
      </c>
      <c r="N18" s="36">
        <v>1.0960000000000001</v>
      </c>
      <c r="O18" s="29">
        <f>PRODUCT(N$14:N18)</f>
        <v>1.4248000000000001</v>
      </c>
      <c r="P18" s="29">
        <f t="shared" si="5"/>
        <v>1.8367857218551031</v>
      </c>
      <c r="R18">
        <v>1991</v>
      </c>
      <c r="S18" s="195">
        <v>1.25</v>
      </c>
      <c r="T18" s="29">
        <f>PRODUCT($S$14:S18)</f>
        <v>1.2191574999999999</v>
      </c>
      <c r="U18" t="s">
        <v>310</v>
      </c>
      <c r="V18" s="76">
        <f>AE54</f>
        <v>2.0529144384529867</v>
      </c>
      <c r="AE18">
        <v>0.5</v>
      </c>
      <c r="AF18">
        <v>0.5</v>
      </c>
    </row>
    <row r="19" spans="1:46" x14ac:dyDescent="0.2">
      <c r="A19" t="str">
        <f t="shared" si="4"/>
        <v>1988</v>
      </c>
      <c r="C19" s="108">
        <v>8043378</v>
      </c>
      <c r="D19" s="28">
        <f>V15</f>
        <v>2.3150497749726844</v>
      </c>
      <c r="E19" s="26">
        <f t="shared" si="2"/>
        <v>18620820</v>
      </c>
      <c r="F19" s="108">
        <v>1026666</v>
      </c>
      <c r="G19" s="22">
        <f t="shared" si="3"/>
        <v>5.5E-2</v>
      </c>
      <c r="J19" s="2"/>
      <c r="M19" s="47">
        <v>38961</v>
      </c>
      <c r="N19" s="36">
        <v>1.0309999999999999</v>
      </c>
      <c r="O19" s="29">
        <f>PRODUCT(N$14:N19)</f>
        <v>1.4689687999999999</v>
      </c>
      <c r="P19" s="29">
        <f t="shared" si="5"/>
        <v>1.781557441178568</v>
      </c>
      <c r="R19">
        <v>1992</v>
      </c>
      <c r="S19" s="195">
        <v>0.45999999999999996</v>
      </c>
      <c r="T19" s="29">
        <f>PRODUCT($S$14:S19)</f>
        <v>0.56081244999999991</v>
      </c>
      <c r="U19" t="s">
        <v>311</v>
      </c>
      <c r="V19" s="76">
        <f>AF54</f>
        <v>2.5309904035721749</v>
      </c>
      <c r="AF19">
        <v>0.5</v>
      </c>
      <c r="AG19">
        <v>0.5</v>
      </c>
    </row>
    <row r="20" spans="1:46" x14ac:dyDescent="0.2">
      <c r="A20" t="str">
        <f t="shared" si="4"/>
        <v>1989</v>
      </c>
      <c r="C20" s="108">
        <v>8149957</v>
      </c>
      <c r="D20" s="28">
        <f t="shared" ref="D20:D30" si="6">V16</f>
        <v>2.3811241343006575</v>
      </c>
      <c r="E20" s="26">
        <f t="shared" si="2"/>
        <v>19406059</v>
      </c>
      <c r="F20" s="108">
        <v>1163813</v>
      </c>
      <c r="G20" s="22">
        <f t="shared" si="3"/>
        <v>0.06</v>
      </c>
      <c r="J20" s="2"/>
      <c r="M20" s="47">
        <v>39083</v>
      </c>
      <c r="N20" s="36">
        <v>1.042</v>
      </c>
      <c r="O20" s="29">
        <f>PRODUCT(N$14:N20)</f>
        <v>1.5306654895999998</v>
      </c>
      <c r="P20" s="29">
        <f t="shared" si="5"/>
        <v>1.7097480241636929</v>
      </c>
      <c r="R20">
        <v>1993</v>
      </c>
      <c r="S20" s="195">
        <v>1.3</v>
      </c>
      <c r="T20" s="29">
        <f>PRODUCT($S$14:S20)</f>
        <v>0.72905618499999991</v>
      </c>
      <c r="U20" t="s">
        <v>312</v>
      </c>
      <c r="V20" s="76">
        <f>AG54</f>
        <v>3.4926710673113193</v>
      </c>
      <c r="AG20">
        <v>0.5</v>
      </c>
      <c r="AH20">
        <v>0.5</v>
      </c>
    </row>
    <row r="21" spans="1:46" x14ac:dyDescent="0.2">
      <c r="A21" t="str">
        <f t="shared" si="4"/>
        <v>1990</v>
      </c>
      <c r="C21" s="108">
        <v>7816199</v>
      </c>
      <c r="D21" s="28">
        <f t="shared" si="6"/>
        <v>2.3447800436244783</v>
      </c>
      <c r="E21" s="26">
        <f t="shared" si="2"/>
        <v>18327267</v>
      </c>
      <c r="F21" s="108">
        <v>5908943</v>
      </c>
      <c r="G21" s="22">
        <f t="shared" si="3"/>
        <v>0.32200000000000001</v>
      </c>
      <c r="J21" s="2"/>
      <c r="M21" s="47">
        <v>39479</v>
      </c>
      <c r="N21" s="36">
        <v>1.0820000000000001</v>
      </c>
      <c r="O21" s="29">
        <f>PRODUCT(N$14:N21)</f>
        <v>1.6561800597471998</v>
      </c>
      <c r="P21" s="29">
        <f t="shared" si="5"/>
        <v>1.5801737746429694</v>
      </c>
      <c r="R21">
        <v>1994</v>
      </c>
      <c r="S21" s="195">
        <v>1</v>
      </c>
      <c r="T21" s="29">
        <f>PRODUCT($S$14:S21)</f>
        <v>0.72905618499999991</v>
      </c>
      <c r="U21" t="s">
        <v>76</v>
      </c>
      <c r="V21" s="76">
        <f>AH54</f>
        <v>3.0896705595446288</v>
      </c>
      <c r="AH21">
        <v>0.5</v>
      </c>
      <c r="AI21">
        <v>0.5</v>
      </c>
    </row>
    <row r="22" spans="1:46" x14ac:dyDescent="0.2">
      <c r="A22" t="str">
        <f t="shared" si="4"/>
        <v>1991</v>
      </c>
      <c r="C22" s="53">
        <f>'[2]TICO 2'!O38</f>
        <v>8645207.9953246713</v>
      </c>
      <c r="D22" s="28">
        <f t="shared" si="6"/>
        <v>2.0529144384529867</v>
      </c>
      <c r="E22" s="26">
        <f>ROUND(C22*D22,0)</f>
        <v>17747872</v>
      </c>
      <c r="F22" s="53">
        <f>'[2]TICO 2'!U38</f>
        <v>13225286.939999999</v>
      </c>
      <c r="G22" s="22">
        <f t="shared" si="3"/>
        <v>0.745</v>
      </c>
      <c r="J22" s="2"/>
      <c r="M22" s="47">
        <v>39845</v>
      </c>
      <c r="N22" s="36">
        <v>1.123</v>
      </c>
      <c r="O22" s="29">
        <f>PRODUCT(N$14:N22)</f>
        <v>1.8598902070961054</v>
      </c>
      <c r="P22" s="29">
        <f t="shared" si="5"/>
        <v>1.4071004226562505</v>
      </c>
      <c r="R22">
        <v>1995</v>
      </c>
      <c r="S22" s="195">
        <v>1.25</v>
      </c>
      <c r="T22" s="29">
        <f>PRODUCT($S$14:S22)</f>
        <v>0.91132023124999995</v>
      </c>
      <c r="U22" t="s">
        <v>313</v>
      </c>
      <c r="V22" s="76">
        <f>AI54</f>
        <v>2.7463738307063363</v>
      </c>
      <c r="AI22">
        <v>0.5</v>
      </c>
      <c r="AJ22">
        <v>0.5</v>
      </c>
    </row>
    <row r="23" spans="1:46" x14ac:dyDescent="0.2">
      <c r="A23" t="str">
        <f t="shared" si="4"/>
        <v>1992</v>
      </c>
      <c r="B23" s="12"/>
      <c r="C23" s="53">
        <f>'[2]TICO 2'!O39</f>
        <v>5826466.68889031</v>
      </c>
      <c r="D23" s="28">
        <f t="shared" si="6"/>
        <v>2.5309904035721749</v>
      </c>
      <c r="E23" s="26">
        <f t="shared" si="2"/>
        <v>14746731</v>
      </c>
      <c r="F23" s="53">
        <f>'[2]TICO 2'!U39</f>
        <v>180484.07</v>
      </c>
      <c r="G23" s="22">
        <f t="shared" si="3"/>
        <v>1.2E-2</v>
      </c>
      <c r="J23" s="2"/>
      <c r="M23" s="47">
        <v>40544</v>
      </c>
      <c r="N23" s="36">
        <v>1.05</v>
      </c>
      <c r="O23" s="29">
        <f>PRODUCT(N$14:N23)</f>
        <v>1.9528847174509107</v>
      </c>
      <c r="P23" s="29">
        <f t="shared" si="5"/>
        <v>1.3400956406250004</v>
      </c>
      <c r="R23">
        <v>1996</v>
      </c>
      <c r="S23" s="195">
        <v>1</v>
      </c>
      <c r="T23" s="29">
        <f>PRODUCT($S$14:S23)</f>
        <v>0.91132023124999995</v>
      </c>
      <c r="U23" t="s">
        <v>314</v>
      </c>
      <c r="V23" s="76">
        <f>AJ54</f>
        <v>2.4717364476357027</v>
      </c>
      <c r="AJ23">
        <v>0.5</v>
      </c>
      <c r="AK23">
        <v>0.5</v>
      </c>
    </row>
    <row r="24" spans="1:46" x14ac:dyDescent="0.2">
      <c r="A24" t="str">
        <f t="shared" si="4"/>
        <v>1993</v>
      </c>
      <c r="B24" s="12"/>
      <c r="C24" s="53">
        <f>'[2]TICO 2'!O40</f>
        <v>5825915.9799037501</v>
      </c>
      <c r="D24" s="28">
        <f t="shared" si="6"/>
        <v>3.4926710673113193</v>
      </c>
      <c r="E24" s="26">
        <f t="shared" si="2"/>
        <v>20348008</v>
      </c>
      <c r="F24" s="53">
        <f>'[2]TICO 2'!U40</f>
        <v>1900088.19</v>
      </c>
      <c r="G24" s="22">
        <f t="shared" si="3"/>
        <v>9.2999999999999999E-2</v>
      </c>
      <c r="J24" s="2"/>
      <c r="M24" s="47">
        <v>40909</v>
      </c>
      <c r="N24" s="36">
        <v>1.05</v>
      </c>
      <c r="O24" s="29">
        <f>PRODUCT(N$14:N24)</f>
        <v>2.0505289533234565</v>
      </c>
      <c r="P24" s="29">
        <f t="shared" si="5"/>
        <v>1.2762815625000004</v>
      </c>
      <c r="R24">
        <v>1997</v>
      </c>
      <c r="S24" s="195">
        <v>1</v>
      </c>
      <c r="T24" s="29">
        <f>PRODUCT($S$14:S24)</f>
        <v>0.91132023124999995</v>
      </c>
      <c r="U24" t="s">
        <v>315</v>
      </c>
      <c r="V24" s="76">
        <f>AK54</f>
        <v>2.4717364476357027</v>
      </c>
      <c r="AK24">
        <v>0.5</v>
      </c>
      <c r="AL24">
        <v>0.5</v>
      </c>
    </row>
    <row r="25" spans="1:46" x14ac:dyDescent="0.2">
      <c r="A25" t="str">
        <f t="shared" si="4"/>
        <v>1994</v>
      </c>
      <c r="B25" s="12"/>
      <c r="C25" s="53">
        <f>'[2]TICO 2'!O41</f>
        <v>6996873.8393279901</v>
      </c>
      <c r="D25" s="28">
        <f t="shared" si="6"/>
        <v>3.0896705595446288</v>
      </c>
      <c r="E25" s="26">
        <f t="shared" si="2"/>
        <v>21618035</v>
      </c>
      <c r="F25" s="53">
        <f>'[2]TICO 2'!U41</f>
        <v>420037.68</v>
      </c>
      <c r="G25" s="22">
        <f t="shared" si="3"/>
        <v>1.9E-2</v>
      </c>
      <c r="J25" s="2"/>
      <c r="M25" s="47">
        <v>41275</v>
      </c>
      <c r="N25" s="36">
        <v>1.05</v>
      </c>
      <c r="O25" s="29">
        <f>PRODUCT(N$14:N25)</f>
        <v>2.1530554009896297</v>
      </c>
      <c r="P25" s="29">
        <f t="shared" si="5"/>
        <v>1.21550625</v>
      </c>
      <c r="R25">
        <v>1998</v>
      </c>
      <c r="S25" s="195">
        <v>1.002</v>
      </c>
      <c r="T25" s="29">
        <f>PRODUCT($S$14:S25)</f>
        <v>0.91314287171249997</v>
      </c>
      <c r="U25" t="s">
        <v>316</v>
      </c>
      <c r="V25" s="76">
        <f>AL54</f>
        <v>2.4692671804552475</v>
      </c>
      <c r="AL25">
        <v>0.5</v>
      </c>
      <c r="AM25">
        <v>0.5</v>
      </c>
    </row>
    <row r="26" spans="1:46" x14ac:dyDescent="0.2">
      <c r="A26" t="str">
        <f t="shared" si="4"/>
        <v>1995</v>
      </c>
      <c r="C26" s="53">
        <f>'[2]TICO 2'!O42</f>
        <v>8737576.095949661</v>
      </c>
      <c r="D26" s="28">
        <f t="shared" si="6"/>
        <v>2.7463738307063363</v>
      </c>
      <c r="E26" s="26">
        <f t="shared" si="2"/>
        <v>23996650</v>
      </c>
      <c r="F26" s="53">
        <f>'[2]TICO 2'!U42</f>
        <v>644169</v>
      </c>
      <c r="G26" s="22">
        <f t="shared" si="3"/>
        <v>2.7E-2</v>
      </c>
      <c r="J26" s="2"/>
      <c r="M26" s="47">
        <v>41640</v>
      </c>
      <c r="N26" s="36">
        <v>1.05</v>
      </c>
      <c r="O26" s="29">
        <f>PRODUCT(N$14:N26)</f>
        <v>2.260708171039111</v>
      </c>
      <c r="P26" s="29">
        <f t="shared" si="5"/>
        <v>1.1576250000000001</v>
      </c>
      <c r="R26">
        <v>1999</v>
      </c>
      <c r="S26" s="195">
        <v>0.90600000000000003</v>
      </c>
      <c r="T26" s="29">
        <f>PRODUCT($S$14:S26)</f>
        <v>0.82730744177152504</v>
      </c>
      <c r="U26" t="s">
        <v>317</v>
      </c>
      <c r="V26" s="76">
        <f>AM54</f>
        <v>2.5884604847343118</v>
      </c>
      <c r="AM26">
        <v>0.5</v>
      </c>
      <c r="AN26">
        <v>0.5</v>
      </c>
    </row>
    <row r="27" spans="1:46" x14ac:dyDescent="0.2">
      <c r="A27" t="str">
        <f t="shared" si="4"/>
        <v>1996</v>
      </c>
      <c r="C27" s="53">
        <f>'[2]TICO 2'!O43</f>
        <v>11652672.33924753</v>
      </c>
      <c r="D27" s="28">
        <f t="shared" si="6"/>
        <v>2.4717364476357027</v>
      </c>
      <c r="E27" s="26">
        <f t="shared" si="2"/>
        <v>28802335</v>
      </c>
      <c r="F27" s="53">
        <f>'[2]TICO 2'!U43</f>
        <v>406004</v>
      </c>
      <c r="G27" s="22">
        <f t="shared" si="3"/>
        <v>1.4E-2</v>
      </c>
      <c r="J27" s="2"/>
      <c r="M27" s="47">
        <v>42005</v>
      </c>
      <c r="N27" s="36">
        <v>1.05</v>
      </c>
      <c r="O27" s="29">
        <f>PRODUCT(N$14:N27)</f>
        <v>2.3737435795910669</v>
      </c>
      <c r="P27" s="29">
        <f t="shared" si="5"/>
        <v>1.1025</v>
      </c>
      <c r="R27">
        <v>2000</v>
      </c>
      <c r="S27" s="195">
        <v>1.087</v>
      </c>
      <c r="T27" s="29">
        <f>PRODUCT($S$14:S27)</f>
        <v>0.89928318920564765</v>
      </c>
      <c r="U27" t="s">
        <v>318</v>
      </c>
      <c r="V27" s="76">
        <f>AN54</f>
        <v>2.6092385660329733</v>
      </c>
      <c r="AN27">
        <v>0.5</v>
      </c>
      <c r="AO27">
        <v>0.5</v>
      </c>
    </row>
    <row r="28" spans="1:46" x14ac:dyDescent="0.2">
      <c r="A28" t="str">
        <f t="shared" si="4"/>
        <v>1997</v>
      </c>
      <c r="C28" s="53">
        <f>'[2]TICO 2'!O44</f>
        <v>12573252.045386519</v>
      </c>
      <c r="D28" s="28">
        <f t="shared" si="6"/>
        <v>2.4717364476357027</v>
      </c>
      <c r="E28" s="26">
        <f t="shared" si="2"/>
        <v>31077765</v>
      </c>
      <c r="F28" s="53">
        <f>'[2]TICO 2'!U44</f>
        <v>573343</v>
      </c>
      <c r="G28" s="22">
        <f t="shared" si="3"/>
        <v>1.7999999999999999E-2</v>
      </c>
      <c r="J28" s="2"/>
      <c r="M28" s="47">
        <v>42370</v>
      </c>
      <c r="N28" s="36">
        <v>1.05</v>
      </c>
      <c r="O28" s="29">
        <f>PRODUCT(N$14:N28)</f>
        <v>2.4924307585706202</v>
      </c>
      <c r="P28" s="29">
        <f t="shared" si="5"/>
        <v>1.05</v>
      </c>
      <c r="R28">
        <v>2001</v>
      </c>
      <c r="S28" s="195">
        <v>1.1850000000000001</v>
      </c>
      <c r="T28" s="29">
        <f>PRODUCT($S$14:S28)</f>
        <v>1.0656505792086925</v>
      </c>
      <c r="U28" t="s">
        <v>319</v>
      </c>
      <c r="V28" s="76">
        <f>AO54</f>
        <v>2.2927423481211551</v>
      </c>
      <c r="AO28">
        <v>0.5</v>
      </c>
      <c r="AP28">
        <v>0.5</v>
      </c>
    </row>
    <row r="29" spans="1:46" x14ac:dyDescent="0.2">
      <c r="A29" t="str">
        <f t="shared" si="4"/>
        <v>1998</v>
      </c>
      <c r="C29" s="53">
        <f>'[2]TICO 2'!O45</f>
        <v>13838930.147333849</v>
      </c>
      <c r="D29" s="28">
        <f t="shared" si="6"/>
        <v>2.4692671804552475</v>
      </c>
      <c r="E29" s="26">
        <f t="shared" si="2"/>
        <v>34172016</v>
      </c>
      <c r="F29" s="53">
        <f>'[2]TICO 2'!U45</f>
        <v>6371206</v>
      </c>
      <c r="G29" s="22">
        <f t="shared" si="3"/>
        <v>0.186</v>
      </c>
      <c r="J29" s="2"/>
      <c r="M29" s="47">
        <v>43101</v>
      </c>
      <c r="N29" s="36">
        <v>1.05</v>
      </c>
      <c r="O29" s="29">
        <f>PRODUCT(N$14:N29)</f>
        <v>2.6170522964991512</v>
      </c>
      <c r="P29" s="29">
        <f>O$29/O29</f>
        <v>1</v>
      </c>
      <c r="R29">
        <v>2002</v>
      </c>
      <c r="S29" s="195">
        <v>1</v>
      </c>
      <c r="T29" s="29">
        <f>PRODUCT($S$14:S29)</f>
        <v>1.0656505792086925</v>
      </c>
      <c r="U29" t="s">
        <v>320</v>
      </c>
      <c r="V29" s="76">
        <f>AP54</f>
        <v>2.1137730087108539</v>
      </c>
      <c r="AP29">
        <v>0.5</v>
      </c>
      <c r="AQ29">
        <v>0.5</v>
      </c>
    </row>
    <row r="30" spans="1:46" x14ac:dyDescent="0.2">
      <c r="A30" t="str">
        <f t="shared" si="4"/>
        <v>1999</v>
      </c>
      <c r="C30" s="53">
        <f>'[2]TICO 2'!O46</f>
        <v>14103814.475361723</v>
      </c>
      <c r="D30" s="28">
        <f t="shared" si="6"/>
        <v>2.5884604847343118</v>
      </c>
      <c r="E30" s="26">
        <f t="shared" si="2"/>
        <v>36507166</v>
      </c>
      <c r="F30" s="53">
        <f>'[2]TICO 2'!U46</f>
        <v>742130</v>
      </c>
      <c r="G30" s="22">
        <f t="shared" si="3"/>
        <v>0.02</v>
      </c>
      <c r="J30" s="2"/>
      <c r="R30">
        <v>2003</v>
      </c>
      <c r="S30" s="195">
        <v>1</v>
      </c>
      <c r="T30" s="29">
        <f>PRODUCT($S$14:S30)</f>
        <v>1.0656505792086925</v>
      </c>
      <c r="U30" t="s">
        <v>321</v>
      </c>
      <c r="V30" s="76">
        <f>AQ54</f>
        <v>2.1137730087108539</v>
      </c>
      <c r="AQ30">
        <v>0.5</v>
      </c>
      <c r="AR30">
        <v>0.5</v>
      </c>
    </row>
    <row r="31" spans="1:46" x14ac:dyDescent="0.2">
      <c r="A31" t="str">
        <f t="shared" si="4"/>
        <v>2000</v>
      </c>
      <c r="C31" s="53">
        <f>'[2]TICO 2'!O47</f>
        <v>15784217.733659999</v>
      </c>
      <c r="D31" s="28">
        <f t="shared" ref="D31:D33" si="7">V27</f>
        <v>2.6092385660329733</v>
      </c>
      <c r="E31" s="26">
        <f t="shared" si="2"/>
        <v>41184790</v>
      </c>
      <c r="F31" s="53">
        <f>'[2]TICO 2'!U47</f>
        <v>324948</v>
      </c>
      <c r="G31" s="22">
        <f t="shared" si="3"/>
        <v>8.0000000000000002E-3</v>
      </c>
      <c r="H31" s="119"/>
      <c r="J31" s="2"/>
      <c r="R31">
        <v>2004</v>
      </c>
      <c r="S31" s="195">
        <v>1.0960000000000001</v>
      </c>
      <c r="T31" s="29">
        <f>PRODUCT($S$14:S31)</f>
        <v>1.1679530348127272</v>
      </c>
      <c r="U31" t="s">
        <v>322</v>
      </c>
      <c r="V31" s="76">
        <f>AR54</f>
        <v>2.0169589777775321</v>
      </c>
      <c r="AR31">
        <v>0.5</v>
      </c>
      <c r="AS31">
        <v>0.5</v>
      </c>
    </row>
    <row r="32" spans="1:46" x14ac:dyDescent="0.2">
      <c r="A32" t="str">
        <f t="shared" si="4"/>
        <v>2001</v>
      </c>
      <c r="C32" s="53">
        <f>'[2]TICO 2'!O48</f>
        <v>17776665.907286998</v>
      </c>
      <c r="D32" s="28">
        <f t="shared" si="7"/>
        <v>2.2927423481211551</v>
      </c>
      <c r="E32" s="26">
        <f t="shared" si="2"/>
        <v>40757315</v>
      </c>
      <c r="F32" s="53">
        <f>'[2]TICO 2'!U48</f>
        <v>1947817</v>
      </c>
      <c r="G32" s="22">
        <f t="shared" si="3"/>
        <v>4.8000000000000001E-2</v>
      </c>
      <c r="H32" s="119"/>
      <c r="J32" s="2"/>
      <c r="R32">
        <v>2005</v>
      </c>
      <c r="S32" s="195">
        <v>1</v>
      </c>
      <c r="T32" s="29">
        <f>PRODUCT($S$14:S32)</f>
        <v>1.1679530348127272</v>
      </c>
      <c r="U32" t="s">
        <v>323</v>
      </c>
      <c r="V32" s="76">
        <f>AS54</f>
        <v>1.9286250079478591</v>
      </c>
      <c r="AS32">
        <v>0.5</v>
      </c>
      <c r="AT32">
        <v>0.5</v>
      </c>
    </row>
    <row r="33" spans="1:61" x14ac:dyDescent="0.2">
      <c r="A33" t="str">
        <f t="shared" si="4"/>
        <v>2002</v>
      </c>
      <c r="C33" s="53">
        <f>'[2]TICO 2'!O49</f>
        <v>20514469</v>
      </c>
      <c r="D33" s="28">
        <f t="shared" si="7"/>
        <v>2.1137730087108539</v>
      </c>
      <c r="E33" s="26">
        <f t="shared" ref="E33:E47" si="8">ROUND(C33*D33,0)</f>
        <v>43362931</v>
      </c>
      <c r="F33" s="53">
        <f>'[2]TICO 2'!U49</f>
        <v>10059284</v>
      </c>
      <c r="G33" s="22">
        <f t="shared" si="3"/>
        <v>0.23200000000000001</v>
      </c>
      <c r="H33" s="119"/>
      <c r="J33" s="2"/>
      <c r="R33">
        <v>2006</v>
      </c>
      <c r="S33" s="195">
        <v>1</v>
      </c>
      <c r="T33" s="29">
        <f>PRODUCT($S$14:S33)</f>
        <v>1.1679530348127272</v>
      </c>
      <c r="U33" t="s">
        <v>324</v>
      </c>
      <c r="V33" s="76">
        <f>AT54</f>
        <v>1.9253091976629948</v>
      </c>
      <c r="AT33">
        <f>0.5-AT34</f>
        <v>0.44444444444444442</v>
      </c>
      <c r="AU33">
        <f>0.5*(8/12)^2</f>
        <v>0.22222222222222221</v>
      </c>
    </row>
    <row r="34" spans="1:61" x14ac:dyDescent="0.2">
      <c r="A34" t="str">
        <f t="shared" si="4"/>
        <v>2003</v>
      </c>
      <c r="C34" s="53">
        <f>'[2]TICO 2'!O50</f>
        <v>25868450</v>
      </c>
      <c r="D34" s="86">
        <f>'[2]TWIA 5'!J297</f>
        <v>2.1137730087108539</v>
      </c>
      <c r="E34" s="26">
        <f t="shared" si="8"/>
        <v>54680031</v>
      </c>
      <c r="F34" s="53">
        <f>'[2]TICO 2'!U50</f>
        <v>2672918</v>
      </c>
      <c r="G34" s="22">
        <f t="shared" si="3"/>
        <v>4.9000000000000002E-2</v>
      </c>
      <c r="H34" s="119"/>
      <c r="J34" s="2"/>
      <c r="Q34" s="47">
        <v>42614</v>
      </c>
      <c r="R34">
        <v>2006.66666667</v>
      </c>
      <c r="S34" s="195">
        <v>1.0309999999999999</v>
      </c>
      <c r="T34" s="29">
        <f>PRODUCT($S$14:S34)</f>
        <v>1.2041595788919217</v>
      </c>
      <c r="U34" t="s">
        <v>325</v>
      </c>
      <c r="V34" s="76">
        <f>AT54</f>
        <v>1.9253091976629948</v>
      </c>
      <c r="AT34">
        <f>0.5*(4/12)^2</f>
        <v>5.5555555555555552E-2</v>
      </c>
      <c r="AU34">
        <f>0.5-AU33</f>
        <v>0.27777777777777779</v>
      </c>
    </row>
    <row r="35" spans="1:61" x14ac:dyDescent="0.2">
      <c r="A35" t="str">
        <f t="shared" si="4"/>
        <v>2004</v>
      </c>
      <c r="C35" s="53">
        <f>'[2]TICO 2'!O51</f>
        <v>30357860</v>
      </c>
      <c r="D35" s="86">
        <f>'[2]TWIA 5'!J298</f>
        <v>2.0155786842906265</v>
      </c>
      <c r="E35" s="26">
        <f t="shared" si="8"/>
        <v>61188656</v>
      </c>
      <c r="F35" s="53">
        <f>'[2]TICO 2'!U51</f>
        <v>731759</v>
      </c>
      <c r="G35" s="22">
        <f t="shared" si="3"/>
        <v>1.2E-2</v>
      </c>
      <c r="J35" s="2"/>
      <c r="R35">
        <v>2007</v>
      </c>
      <c r="S35" s="195">
        <v>1.042</v>
      </c>
      <c r="T35" s="29">
        <f>PRODUCT($S$14:S35)</f>
        <v>1.2547342812053826</v>
      </c>
      <c r="U35" t="s">
        <v>326</v>
      </c>
      <c r="V35" s="76">
        <f>AU54</f>
        <v>1.8442291869789729</v>
      </c>
      <c r="AU35">
        <v>0.5</v>
      </c>
      <c r="AV35">
        <f>1-AV36</f>
        <v>0.57986111111111116</v>
      </c>
      <c r="AW35">
        <f>0.5*(1/12)^2</f>
        <v>3.472222222222222E-3</v>
      </c>
    </row>
    <row r="36" spans="1:61" x14ac:dyDescent="0.2">
      <c r="A36" t="str">
        <f t="shared" si="4"/>
        <v>2005</v>
      </c>
      <c r="C36" s="53">
        <f>'[2]TICO 2'!O52</f>
        <v>36780457</v>
      </c>
      <c r="D36" s="86">
        <f>'[2]TWIA 5'!J299</f>
        <v>1.9286250079478586</v>
      </c>
      <c r="E36" s="26">
        <f t="shared" si="8"/>
        <v>70935709</v>
      </c>
      <c r="F36" s="53">
        <f>'[2]TICO 2'!U52</f>
        <v>34527644</v>
      </c>
      <c r="G36" s="22">
        <f t="shared" si="3"/>
        <v>0.48699999999999999</v>
      </c>
      <c r="J36" s="2"/>
      <c r="Q36" s="47">
        <v>39479</v>
      </c>
      <c r="R36">
        <v>2008.0833333</v>
      </c>
      <c r="S36" s="195">
        <v>1.0820000000000001</v>
      </c>
      <c r="T36" s="29">
        <f>PRODUCT($S$14:S36)</f>
        <v>1.3576224922642239</v>
      </c>
      <c r="U36" t="s">
        <v>327</v>
      </c>
      <c r="V36" s="76">
        <f>AV54</f>
        <v>1.7354468703455963</v>
      </c>
      <c r="AV36">
        <f>0.5*(11/12)^2</f>
        <v>0.42013888888888884</v>
      </c>
      <c r="AW36">
        <f>1-AW35-AW37</f>
        <v>0.57638888888888895</v>
      </c>
      <c r="AX36">
        <f>0.5*(1/12)^2</f>
        <v>3.472222222222222E-3</v>
      </c>
    </row>
    <row r="37" spans="1:61" x14ac:dyDescent="0.2">
      <c r="A37" t="str">
        <f t="shared" si="4"/>
        <v>2006</v>
      </c>
      <c r="C37" s="53">
        <f>'[2]TICO 2'!O53</f>
        <v>43562211</v>
      </c>
      <c r="D37" s="86">
        <f>'[2]TWIA 5'!J300</f>
        <v>1.9239964550740354</v>
      </c>
      <c r="E37" s="26">
        <f t="shared" si="8"/>
        <v>83813540</v>
      </c>
      <c r="F37" s="53">
        <f>'[2]TICO 2'!U53</f>
        <v>813430</v>
      </c>
      <c r="G37" s="22">
        <f t="shared" si="3"/>
        <v>0.01</v>
      </c>
      <c r="J37" s="2"/>
      <c r="Q37" s="47">
        <v>39845</v>
      </c>
      <c r="R37">
        <v>2009.08</v>
      </c>
      <c r="S37" s="195">
        <v>1.123</v>
      </c>
      <c r="T37" s="29">
        <f>PRODUCT($S$14:S37)</f>
        <v>1.5246100588127234</v>
      </c>
      <c r="U37" t="s">
        <v>328</v>
      </c>
      <c r="V37" s="76">
        <f>AW54</f>
        <v>1.5780487607300271</v>
      </c>
      <c r="AW37">
        <f>0.5*(11/12)^2</f>
        <v>0.42013888888888884</v>
      </c>
      <c r="AX37">
        <f>0.5-AX36</f>
        <v>0.49652777777777779</v>
      </c>
    </row>
    <row r="38" spans="1:61" x14ac:dyDescent="0.2">
      <c r="A38" t="str">
        <f t="shared" si="4"/>
        <v>2007</v>
      </c>
      <c r="B38" s="23"/>
      <c r="C38" s="53">
        <f>'[2]TICO 2'!O54</f>
        <v>59282257</v>
      </c>
      <c r="D38" s="86">
        <f>'[2]TWIA 5'!J301</f>
        <v>1.8364634726042235</v>
      </c>
      <c r="E38" s="26">
        <f t="shared" si="8"/>
        <v>108869700</v>
      </c>
      <c r="F38" s="53">
        <f>'[2]TICO 2'!U54</f>
        <v>2757645</v>
      </c>
      <c r="G38" s="38">
        <f t="shared" si="3"/>
        <v>2.5000000000000001E-2</v>
      </c>
      <c r="J38" s="2"/>
      <c r="R38">
        <v>2010</v>
      </c>
      <c r="S38" s="195">
        <v>1</v>
      </c>
      <c r="T38" s="29">
        <f>PRODUCT($S$14:S38)</f>
        <v>1.5246100588127234</v>
      </c>
      <c r="U38" t="s">
        <v>329</v>
      </c>
      <c r="V38" s="76">
        <f>AX54</f>
        <v>1.4780175423275337</v>
      </c>
      <c r="AX38">
        <v>0.5</v>
      </c>
      <c r="AY38">
        <v>0.5</v>
      </c>
    </row>
    <row r="39" spans="1:61" x14ac:dyDescent="0.2">
      <c r="A39" t="str">
        <f t="shared" si="4"/>
        <v>2008</v>
      </c>
      <c r="C39" s="53">
        <f>'[2]TICO 2'!O55</f>
        <v>73789694</v>
      </c>
      <c r="D39" s="86">
        <f>'[2]TWIA 5'!J302</f>
        <v>1.7320113079002213</v>
      </c>
      <c r="E39" s="26">
        <f t="shared" si="8"/>
        <v>127804584</v>
      </c>
      <c r="F39" s="53">
        <f>'[2]TICO 2'!U55-K41</f>
        <v>845467368</v>
      </c>
      <c r="G39" s="38">
        <f>ROUND(F39/E39,3)</f>
        <v>6.6150000000000002</v>
      </c>
      <c r="H39" s="29"/>
      <c r="I39" s="29"/>
      <c r="J39" s="2"/>
      <c r="R39">
        <v>2011</v>
      </c>
      <c r="S39" s="195">
        <v>1.05</v>
      </c>
      <c r="T39" s="29">
        <f>PRODUCT($S$14:S39)</f>
        <v>1.6008405617533596</v>
      </c>
      <c r="U39" t="s">
        <v>330</v>
      </c>
      <c r="V39" s="76">
        <f>AY54</f>
        <v>1.4414199451600618</v>
      </c>
      <c r="AY39">
        <v>0.5</v>
      </c>
      <c r="AZ39">
        <v>0.5</v>
      </c>
    </row>
    <row r="40" spans="1:61" x14ac:dyDescent="0.2">
      <c r="A40" t="str">
        <f t="shared" si="4"/>
        <v>2009</v>
      </c>
      <c r="C40" s="53">
        <f>'[2]TICO 2'!O56</f>
        <v>81999709</v>
      </c>
      <c r="D40" s="86">
        <f>'[2]TWIA 5'!J303</f>
        <v>1.5736409509560276</v>
      </c>
      <c r="E40" s="26">
        <f>ROUND(C40*D40,0)</f>
        <v>129038100</v>
      </c>
      <c r="F40" s="53">
        <f>'[2]TICO 2'!U56</f>
        <v>3581024</v>
      </c>
      <c r="G40" s="38">
        <f t="shared" si="3"/>
        <v>2.8000000000000001E-2</v>
      </c>
      <c r="J40" s="2"/>
      <c r="K40" t="s">
        <v>290</v>
      </c>
      <c r="R40">
        <v>2012</v>
      </c>
      <c r="S40" s="195">
        <v>1.05</v>
      </c>
      <c r="T40" s="29">
        <f>PRODUCT($S$14:S40)</f>
        <v>1.6808825898410278</v>
      </c>
      <c r="U40" t="s">
        <v>331</v>
      </c>
      <c r="V40" s="76">
        <f>AZ54</f>
        <v>1.3727809001524396</v>
      </c>
      <c r="AZ40">
        <v>0.5</v>
      </c>
      <c r="BA40">
        <v>0.5</v>
      </c>
    </row>
    <row r="41" spans="1:61" x14ac:dyDescent="0.2">
      <c r="A41" t="str">
        <f t="shared" si="4"/>
        <v>2010</v>
      </c>
      <c r="C41" s="53">
        <f>'[2]TICO 2'!O57</f>
        <v>89665314</v>
      </c>
      <c r="D41" s="86">
        <f>'[2]TWIA 5'!J304</f>
        <v>1.4778548957967284</v>
      </c>
      <c r="E41" s="26">
        <f t="shared" si="8"/>
        <v>132512323</v>
      </c>
      <c r="F41" s="53">
        <f>'[2]TICO 2'!U57</f>
        <v>1451547</v>
      </c>
      <c r="G41" s="38">
        <f t="shared" si="3"/>
        <v>1.0999999999999999E-2</v>
      </c>
      <c r="H41" s="19"/>
      <c r="J41" s="2"/>
      <c r="K41" s="185">
        <v>206858309</v>
      </c>
      <c r="L41" s="19"/>
      <c r="R41">
        <v>2013</v>
      </c>
      <c r="S41" s="195">
        <v>1.05</v>
      </c>
      <c r="T41" s="29">
        <f>PRODUCT($S$14:S41)</f>
        <v>1.7649267193330793</v>
      </c>
      <c r="U41" t="s">
        <v>332</v>
      </c>
      <c r="V41" s="76">
        <f>BA54</f>
        <v>1.3074103810975612</v>
      </c>
      <c r="BA41">
        <v>0.5</v>
      </c>
      <c r="BB41">
        <v>0.5</v>
      </c>
    </row>
    <row r="42" spans="1:61" x14ac:dyDescent="0.2">
      <c r="A42" t="str">
        <f t="shared" si="4"/>
        <v>2011</v>
      </c>
      <c r="C42" s="53">
        <f>'[2]TICO 2'!O58</f>
        <v>93230854</v>
      </c>
      <c r="D42" s="86">
        <f>'[2]TWIA 5'!J305</f>
        <v>1.4413525093000297</v>
      </c>
      <c r="E42" s="26">
        <f t="shared" si="8"/>
        <v>134378525</v>
      </c>
      <c r="F42" s="53">
        <f>'[2]TICO 2'!U58</f>
        <v>1329886</v>
      </c>
      <c r="G42" s="38">
        <f t="shared" si="3"/>
        <v>0.01</v>
      </c>
      <c r="J42" s="2"/>
      <c r="R42">
        <v>2014</v>
      </c>
      <c r="S42" s="195">
        <v>1.05</v>
      </c>
      <c r="T42" s="29">
        <f>PRODUCT($S$14:S42)</f>
        <v>1.8531730552997334</v>
      </c>
      <c r="U42" t="s">
        <v>333</v>
      </c>
      <c r="V42" s="76">
        <f>BB54</f>
        <v>1.2451527439024392</v>
      </c>
      <c r="BB42">
        <v>0.5</v>
      </c>
      <c r="BC42">
        <v>0.5</v>
      </c>
    </row>
    <row r="43" spans="1:61" x14ac:dyDescent="0.2">
      <c r="A43" t="str">
        <f t="shared" si="4"/>
        <v>2012</v>
      </c>
      <c r="C43" s="53">
        <f>'[2]TICO 2'!O59</f>
        <v>99629727</v>
      </c>
      <c r="D43" s="86">
        <f>'[2]TWIA 5'!J306</f>
        <v>1.3727418575616306</v>
      </c>
      <c r="E43" s="26">
        <f>ROUND(C43*D43,0)</f>
        <v>136765897</v>
      </c>
      <c r="F43" s="53">
        <f>'[2]TICO 2'!U59</f>
        <v>10756644</v>
      </c>
      <c r="G43" s="38">
        <f t="shared" ref="G43:G52" si="9">ROUND(F43/E43,3)</f>
        <v>7.9000000000000001E-2</v>
      </c>
      <c r="J43" s="2"/>
      <c r="R43">
        <v>2015</v>
      </c>
      <c r="S43" s="195">
        <v>1.05</v>
      </c>
      <c r="T43" s="29">
        <f>PRODUCT($S$14:S43)</f>
        <v>1.9458317080647203</v>
      </c>
      <c r="U43" t="s">
        <v>334</v>
      </c>
      <c r="V43" s="76">
        <f>BC54</f>
        <v>1.1858597560975612</v>
      </c>
      <c r="BC43">
        <v>0.5</v>
      </c>
      <c r="BD43">
        <v>0.5</v>
      </c>
    </row>
    <row r="44" spans="1:61" x14ac:dyDescent="0.2">
      <c r="A44" t="str">
        <f t="shared" si="4"/>
        <v>2013</v>
      </c>
      <c r="C44" s="53">
        <f>'[2]TICO 2'!O60</f>
        <v>107104250</v>
      </c>
      <c r="D44" s="86">
        <f>'[2]TWIA 5'!J307</f>
        <v>1.3075493593415137</v>
      </c>
      <c r="E44" s="26">
        <f>ROUND(C44*D44,0)</f>
        <v>140044093</v>
      </c>
      <c r="F44" s="53">
        <f>'[2]TICO 2'!U60</f>
        <v>54338085</v>
      </c>
      <c r="G44" s="38">
        <f t="shared" si="9"/>
        <v>0.38800000000000001</v>
      </c>
      <c r="J44" s="2"/>
      <c r="R44">
        <v>2016</v>
      </c>
      <c r="S44" s="195">
        <v>1.05</v>
      </c>
      <c r="T44" s="29">
        <f>PRODUCT($S$14:S44)</f>
        <v>2.0431232934679562</v>
      </c>
      <c r="U44" t="s">
        <v>335</v>
      </c>
      <c r="V44" s="76">
        <f>BD54</f>
        <v>1.1293902439024393</v>
      </c>
      <c r="BD44">
        <v>0.5</v>
      </c>
      <c r="BE44">
        <v>0.5</v>
      </c>
    </row>
    <row r="45" spans="1:61" x14ac:dyDescent="0.2">
      <c r="A45" t="str">
        <f t="shared" si="4"/>
        <v>2014</v>
      </c>
      <c r="C45" s="53">
        <f>'[2]TICO 2'!O61</f>
        <v>114784032</v>
      </c>
      <c r="D45" s="86">
        <f>'[2]TWIA 5'!J308</f>
        <v>1.2455465141622082</v>
      </c>
      <c r="E45" s="26">
        <f t="shared" si="8"/>
        <v>142968851</v>
      </c>
      <c r="F45" s="53">
        <f>'[2]TICO 2'!U61</f>
        <v>691708</v>
      </c>
      <c r="G45" s="38">
        <f t="shared" si="9"/>
        <v>5.0000000000000001E-3</v>
      </c>
      <c r="J45" s="2"/>
      <c r="R45">
        <v>2017</v>
      </c>
      <c r="S45" s="195">
        <v>1</v>
      </c>
      <c r="T45" s="29">
        <f>PRODUCT($S$14:S45)</f>
        <v>2.0431232934679562</v>
      </c>
      <c r="U45" t="s">
        <v>336</v>
      </c>
      <c r="V45" s="76">
        <f>BE54</f>
        <v>1.1025000000000003</v>
      </c>
      <c r="BE45">
        <v>0.5</v>
      </c>
      <c r="BF45">
        <v>0.5</v>
      </c>
    </row>
    <row r="46" spans="1:61" x14ac:dyDescent="0.2">
      <c r="A46" t="str">
        <f t="shared" si="4"/>
        <v>2015</v>
      </c>
      <c r="C46" s="53">
        <f>'[2]TICO 2'!O62</f>
        <v>122782019</v>
      </c>
      <c r="D46" s="86">
        <f>'[2]TWIA 5'!J309</f>
        <v>1.1864644900727379</v>
      </c>
      <c r="E46" s="26">
        <f t="shared" si="8"/>
        <v>145676506</v>
      </c>
      <c r="F46" s="53">
        <f>'[2]TICO 2'!U62</f>
        <v>17666484</v>
      </c>
      <c r="G46" s="38">
        <f t="shared" si="9"/>
        <v>0.121</v>
      </c>
      <c r="J46" s="2"/>
      <c r="N46" s="19"/>
      <c r="R46">
        <v>2018</v>
      </c>
      <c r="S46" s="195">
        <v>1.05</v>
      </c>
      <c r="T46" s="29">
        <f>PRODUCT($S$14:S46)</f>
        <v>2.1452794581413541</v>
      </c>
      <c r="U46" t="s">
        <v>337</v>
      </c>
      <c r="V46" s="76">
        <f>BF54</f>
        <v>1.0756097560975613</v>
      </c>
      <c r="BF46">
        <v>0.5</v>
      </c>
      <c r="BG46">
        <v>0.5</v>
      </c>
    </row>
    <row r="47" spans="1:61" x14ac:dyDescent="0.2">
      <c r="A47" t="str">
        <f t="shared" si="4"/>
        <v>2016</v>
      </c>
      <c r="C47" s="53">
        <f>'[2]TICO 2'!O63</f>
        <v>127007324</v>
      </c>
      <c r="D47" s="86">
        <f>'[2]TWIA 5'!J310</f>
        <v>1.1303877408726286</v>
      </c>
      <c r="E47" s="26">
        <f t="shared" si="8"/>
        <v>143567522</v>
      </c>
      <c r="F47" s="53">
        <f>'[2]TICO 2'!U63</f>
        <v>11304310</v>
      </c>
      <c r="G47" s="38">
        <f t="shared" si="9"/>
        <v>7.9000000000000001E-2</v>
      </c>
      <c r="J47" s="2"/>
      <c r="R47">
        <v>2019</v>
      </c>
      <c r="S47" s="195">
        <v>1</v>
      </c>
      <c r="T47" s="29">
        <f>PRODUCT($S$14:S47)</f>
        <v>2.1452794581413541</v>
      </c>
      <c r="U47" t="s">
        <v>338</v>
      </c>
      <c r="V47" s="76">
        <f>BG54</f>
        <v>1.05</v>
      </c>
      <c r="BG47">
        <v>0.5</v>
      </c>
      <c r="BH47">
        <v>0.5</v>
      </c>
    </row>
    <row r="48" spans="1:61" x14ac:dyDescent="0.2">
      <c r="A48" t="str">
        <f t="shared" si="4"/>
        <v>2017</v>
      </c>
      <c r="C48" s="53">
        <f>'[2]TICO 2'!O64</f>
        <v>126002753</v>
      </c>
      <c r="D48" s="86">
        <f>'[2]TWIA 5'!J311</f>
        <v>1.1025000000000003</v>
      </c>
      <c r="E48" s="26">
        <f t="shared" ref="E48:E54" si="10">ROUND(C48*D48,0)</f>
        <v>138918035</v>
      </c>
      <c r="F48" s="53">
        <f>'[2]TICO 2'!U64</f>
        <v>40971158</v>
      </c>
      <c r="G48" s="38">
        <f t="shared" si="9"/>
        <v>0.29499999999999998</v>
      </c>
      <c r="J48" s="2"/>
      <c r="R48">
        <v>2020</v>
      </c>
      <c r="S48" s="195">
        <v>1</v>
      </c>
      <c r="T48" s="29">
        <f>PRODUCT($S$14:S48)</f>
        <v>2.1452794581413541</v>
      </c>
      <c r="U48" t="s">
        <v>364</v>
      </c>
      <c r="V48" s="76">
        <f>BH54</f>
        <v>1.05</v>
      </c>
      <c r="BH48">
        <v>0.5</v>
      </c>
      <c r="BI48">
        <v>0.5</v>
      </c>
    </row>
    <row r="49" spans="1:63" x14ac:dyDescent="0.2">
      <c r="A49" t="str">
        <f t="shared" si="4"/>
        <v>2018</v>
      </c>
      <c r="C49" s="53">
        <f>'[2]TICO 2'!O65</f>
        <v>122707170</v>
      </c>
      <c r="D49" s="86">
        <f>'[2]TWIA 5'!J312</f>
        <v>1.0768211446107889</v>
      </c>
      <c r="E49" s="26">
        <f t="shared" si="10"/>
        <v>132133675</v>
      </c>
      <c r="F49" s="53">
        <f>'[2]TICO 2'!U65</f>
        <v>3153959</v>
      </c>
      <c r="G49" s="38">
        <f t="shared" si="9"/>
        <v>2.4E-2</v>
      </c>
      <c r="J49" s="2"/>
      <c r="R49">
        <v>2021</v>
      </c>
      <c r="S49" s="195">
        <v>1</v>
      </c>
      <c r="T49" s="29">
        <f>PRODUCT($S$14:S49)</f>
        <v>2.1452794581413541</v>
      </c>
      <c r="U49" t="s">
        <v>389</v>
      </c>
      <c r="V49" s="76">
        <f>BI54</f>
        <v>1.05</v>
      </c>
      <c r="BI49">
        <v>0.5</v>
      </c>
      <c r="BJ49">
        <v>0.5</v>
      </c>
    </row>
    <row r="50" spans="1:63" x14ac:dyDescent="0.2">
      <c r="A50" t="str">
        <f t="shared" si="4"/>
        <v>2019</v>
      </c>
      <c r="C50" s="53">
        <f>'[2]TICO 2'!O66</f>
        <v>121980686</v>
      </c>
      <c r="D50" s="86">
        <f>'[2]TWIA 5'!J313</f>
        <v>1.0499999999999947</v>
      </c>
      <c r="E50" s="26">
        <f t="shared" si="10"/>
        <v>128079720</v>
      </c>
      <c r="F50" s="53">
        <f>'[2]TICO 2'!U66</f>
        <v>6648705</v>
      </c>
      <c r="G50" s="38">
        <f t="shared" si="9"/>
        <v>5.1999999999999998E-2</v>
      </c>
      <c r="J50" s="2"/>
      <c r="R50">
        <v>2022</v>
      </c>
      <c r="S50" s="195">
        <v>1.05</v>
      </c>
      <c r="T50" s="29">
        <f>PRODUCT($S$14:S50)</f>
        <v>2.252543431048422</v>
      </c>
      <c r="U50" t="s">
        <v>411</v>
      </c>
      <c r="V50" s="76">
        <f>BJ54</f>
        <v>1.0243902439024393</v>
      </c>
      <c r="BJ50">
        <v>0.5</v>
      </c>
      <c r="BK50">
        <v>0.5</v>
      </c>
    </row>
    <row r="51" spans="1:63" x14ac:dyDescent="0.2">
      <c r="A51" t="str">
        <f t="shared" si="4"/>
        <v>2020</v>
      </c>
      <c r="C51" s="53">
        <f>'[2]TICO 2'!O67</f>
        <v>121816746</v>
      </c>
      <c r="D51" s="86">
        <f>'[2]TWIA 5'!J314</f>
        <v>1.0500000000000036</v>
      </c>
      <c r="E51" s="26">
        <f t="shared" si="10"/>
        <v>127907583</v>
      </c>
      <c r="F51" s="53">
        <f>'[2]TICO 2'!U67</f>
        <v>6942693</v>
      </c>
      <c r="G51" s="38">
        <f t="shared" si="9"/>
        <v>5.3999999999999999E-2</v>
      </c>
      <c r="J51" s="2"/>
      <c r="R51">
        <v>2023</v>
      </c>
      <c r="S51" s="195">
        <v>1</v>
      </c>
      <c r="T51" s="29">
        <f>PRODUCT($S$14:S51)</f>
        <v>2.252543431048422</v>
      </c>
      <c r="U51" t="s">
        <v>426</v>
      </c>
      <c r="V51" s="76">
        <f>BK54</f>
        <v>1</v>
      </c>
      <c r="BK51">
        <v>0.5</v>
      </c>
    </row>
    <row r="52" spans="1:63" x14ac:dyDescent="0.2">
      <c r="A52" t="str">
        <f t="shared" si="4"/>
        <v>2021</v>
      </c>
      <c r="C52" s="53">
        <f>'[2]TICO 2'!O68</f>
        <v>126003547</v>
      </c>
      <c r="D52" s="86">
        <f>'[2]TWIA 5'!J315</f>
        <v>1.0500000000000056</v>
      </c>
      <c r="E52" s="26">
        <f t="shared" si="10"/>
        <v>132303724</v>
      </c>
      <c r="F52" s="53">
        <f>'[2]TICO 2'!U68</f>
        <v>32338822</v>
      </c>
      <c r="G52" s="38">
        <f t="shared" si="9"/>
        <v>0.24399999999999999</v>
      </c>
      <c r="J52" s="2"/>
    </row>
    <row r="53" spans="1:63" x14ac:dyDescent="0.2">
      <c r="A53" t="str">
        <f t="shared" si="4"/>
        <v>2022</v>
      </c>
      <c r="C53" s="53">
        <f>'[2]TICO 2'!O69</f>
        <v>138162407</v>
      </c>
      <c r="D53" s="86">
        <f>'[2]TWIA 5'!J316</f>
        <v>1.0228262738748721</v>
      </c>
      <c r="E53" s="26">
        <f t="shared" si="10"/>
        <v>141316140</v>
      </c>
      <c r="F53" s="53">
        <f>'[2]TICO 2'!U69</f>
        <v>12526177</v>
      </c>
      <c r="G53" s="38">
        <f t="shared" ref="G53:G54" si="11">ROUND(F53/E53,3)</f>
        <v>8.8999999999999996E-2</v>
      </c>
      <c r="J53" s="2"/>
      <c r="W53" s="196">
        <f>SUMPRODUCT($T$14:$T$51,W14:W51)</f>
        <v>1</v>
      </c>
      <c r="X53" s="196">
        <f t="shared" ref="X53:BK53" si="12">SUMPRODUCT($T$14:$T$51,X14:X51)</f>
        <v>1</v>
      </c>
      <c r="Y53" s="196">
        <f t="shared" si="12"/>
        <v>1</v>
      </c>
      <c r="Z53" s="196">
        <f t="shared" si="12"/>
        <v>1</v>
      </c>
      <c r="AA53" s="196">
        <f t="shared" si="12"/>
        <v>1</v>
      </c>
      <c r="AB53" s="196">
        <f t="shared" si="12"/>
        <v>0.97299999999999998</v>
      </c>
      <c r="AC53" s="196">
        <f t="shared" si="12"/>
        <v>0.94599999999999995</v>
      </c>
      <c r="AD53" s="196">
        <f t="shared" si="12"/>
        <v>0.96066299999999993</v>
      </c>
      <c r="AE53" s="196">
        <f t="shared" si="12"/>
        <v>1.0972417499999998</v>
      </c>
      <c r="AF53" s="196">
        <f t="shared" si="12"/>
        <v>0.88998497499999996</v>
      </c>
      <c r="AG53" s="196">
        <f t="shared" si="12"/>
        <v>0.64493431749999997</v>
      </c>
      <c r="AH53" s="196">
        <f t="shared" si="12"/>
        <v>0.72905618499999991</v>
      </c>
      <c r="AI53" s="196">
        <f t="shared" si="12"/>
        <v>0.82018820812499993</v>
      </c>
      <c r="AJ53" s="196">
        <f t="shared" si="12"/>
        <v>0.91132023124999995</v>
      </c>
      <c r="AK53" s="196">
        <f t="shared" si="12"/>
        <v>0.91132023124999995</v>
      </c>
      <c r="AL53" s="196">
        <f t="shared" si="12"/>
        <v>0.91223155148125001</v>
      </c>
      <c r="AM53" s="196">
        <f t="shared" si="12"/>
        <v>0.87022515674201251</v>
      </c>
      <c r="AN53" s="196">
        <f t="shared" si="12"/>
        <v>0.86329531548858629</v>
      </c>
      <c r="AO53" s="196">
        <f t="shared" si="12"/>
        <v>0.9824668842071701</v>
      </c>
      <c r="AP53" s="196">
        <f t="shared" si="12"/>
        <v>1.0656505792086925</v>
      </c>
      <c r="AQ53" s="196">
        <f t="shared" si="12"/>
        <v>1.0656505792086925</v>
      </c>
      <c r="AR53" s="196">
        <f t="shared" si="12"/>
        <v>1.11680180701071</v>
      </c>
      <c r="AS53" s="196">
        <f t="shared" si="12"/>
        <v>1.1679530348127272</v>
      </c>
      <c r="AT53" s="197">
        <f t="shared" si="12"/>
        <v>1.1699645094837936</v>
      </c>
      <c r="AU53" s="196">
        <f t="shared" si="12"/>
        <v>1.2214010313643868</v>
      </c>
      <c r="AV53" s="196">
        <f t="shared" si="12"/>
        <v>1.2979616198794097</v>
      </c>
      <c r="AW53" s="196">
        <f t="shared" si="12"/>
        <v>1.4274232121993267</v>
      </c>
      <c r="AX53" s="196">
        <f t="shared" si="12"/>
        <v>1.5240302408733188</v>
      </c>
      <c r="AY53" s="196">
        <f t="shared" si="12"/>
        <v>1.5627253102830414</v>
      </c>
      <c r="AZ53" s="196">
        <f t="shared" si="12"/>
        <v>1.6408615757971936</v>
      </c>
      <c r="BA53" s="196">
        <f t="shared" si="12"/>
        <v>1.7229046545870537</v>
      </c>
      <c r="BB53" s="196">
        <f t="shared" si="12"/>
        <v>1.8090498873164065</v>
      </c>
      <c r="BC53" s="196">
        <f t="shared" si="12"/>
        <v>1.8995023816822267</v>
      </c>
      <c r="BD53" s="196">
        <f t="shared" si="12"/>
        <v>1.9944775007663382</v>
      </c>
      <c r="BE53" s="196">
        <f t="shared" si="12"/>
        <v>2.0431232934679562</v>
      </c>
      <c r="BF53" s="196">
        <f t="shared" si="12"/>
        <v>2.0942013758046549</v>
      </c>
      <c r="BG53" s="196">
        <f t="shared" si="12"/>
        <v>2.1452794581413541</v>
      </c>
      <c r="BH53" s="196">
        <f t="shared" si="12"/>
        <v>2.1452794581413541</v>
      </c>
      <c r="BI53" s="196">
        <f t="shared" si="12"/>
        <v>2.1452794581413541</v>
      </c>
      <c r="BJ53" s="196">
        <f t="shared" si="12"/>
        <v>2.1989114445948879</v>
      </c>
      <c r="BK53" s="196">
        <f t="shared" si="12"/>
        <v>2.252543431048422</v>
      </c>
    </row>
    <row r="54" spans="1:63" x14ac:dyDescent="0.2">
      <c r="A54" t="str">
        <f t="shared" si="4"/>
        <v>2023</v>
      </c>
      <c r="C54" s="53">
        <f>'[2]TICO 2'!O70</f>
        <v>166969215</v>
      </c>
      <c r="D54" s="86">
        <f>'[2]TWIA 5'!J317</f>
        <v>1</v>
      </c>
      <c r="E54" s="26">
        <f t="shared" si="10"/>
        <v>166969215</v>
      </c>
      <c r="F54" s="53">
        <f>'[2]TICO 2'!U70</f>
        <v>30038690</v>
      </c>
      <c r="G54" s="38">
        <f t="shared" si="11"/>
        <v>0.18</v>
      </c>
      <c r="J54" s="2"/>
      <c r="W54" s="196">
        <f>$T$51/W53</f>
        <v>2.252543431048422</v>
      </c>
      <c r="X54" s="196">
        <f t="shared" ref="X54:BK54" si="13">$T$51/X53</f>
        <v>2.252543431048422</v>
      </c>
      <c r="Y54" s="196">
        <f t="shared" si="13"/>
        <v>2.252543431048422</v>
      </c>
      <c r="Z54" s="196">
        <f t="shared" si="13"/>
        <v>2.252543431048422</v>
      </c>
      <c r="AA54" s="196">
        <f t="shared" si="13"/>
        <v>2.252543431048422</v>
      </c>
      <c r="AB54" s="196">
        <f t="shared" si="13"/>
        <v>2.3150497749726844</v>
      </c>
      <c r="AC54" s="196">
        <f t="shared" si="13"/>
        <v>2.3811241343006575</v>
      </c>
      <c r="AD54" s="196">
        <f t="shared" si="13"/>
        <v>2.3447800436244783</v>
      </c>
      <c r="AE54" s="196">
        <f t="shared" si="13"/>
        <v>2.0529144384529867</v>
      </c>
      <c r="AF54" s="196">
        <f t="shared" si="13"/>
        <v>2.5309904035721749</v>
      </c>
      <c r="AG54" s="196">
        <f t="shared" si="13"/>
        <v>3.4926710673113193</v>
      </c>
      <c r="AH54" s="196">
        <f t="shared" si="13"/>
        <v>3.0896705595446288</v>
      </c>
      <c r="AI54" s="196">
        <f t="shared" si="13"/>
        <v>2.7463738307063363</v>
      </c>
      <c r="AJ54" s="196">
        <f t="shared" si="13"/>
        <v>2.4717364476357027</v>
      </c>
      <c r="AK54" s="196">
        <f t="shared" si="13"/>
        <v>2.4717364476357027</v>
      </c>
      <c r="AL54" s="196">
        <f t="shared" si="13"/>
        <v>2.4692671804552475</v>
      </c>
      <c r="AM54" s="196">
        <f t="shared" si="13"/>
        <v>2.5884604847343118</v>
      </c>
      <c r="AN54" s="196">
        <f t="shared" si="13"/>
        <v>2.6092385660329733</v>
      </c>
      <c r="AO54" s="196">
        <f t="shared" si="13"/>
        <v>2.2927423481211551</v>
      </c>
      <c r="AP54" s="196">
        <f t="shared" si="13"/>
        <v>2.1137730087108539</v>
      </c>
      <c r="AQ54" s="196">
        <f t="shared" si="13"/>
        <v>2.1137730087108539</v>
      </c>
      <c r="AR54" s="196">
        <f t="shared" si="13"/>
        <v>2.0169589777775321</v>
      </c>
      <c r="AS54" s="196">
        <f t="shared" si="13"/>
        <v>1.9286250079478591</v>
      </c>
      <c r="AT54" s="196">
        <f t="shared" si="13"/>
        <v>1.9253091976629948</v>
      </c>
      <c r="AU54" s="196">
        <f t="shared" si="13"/>
        <v>1.8442291869789729</v>
      </c>
      <c r="AV54" s="196">
        <f t="shared" si="13"/>
        <v>1.7354468703455963</v>
      </c>
      <c r="AW54" s="196">
        <f t="shared" si="13"/>
        <v>1.5780487607300271</v>
      </c>
      <c r="AX54" s="196">
        <f t="shared" si="13"/>
        <v>1.4780175423275337</v>
      </c>
      <c r="AY54" s="196">
        <f t="shared" si="13"/>
        <v>1.4414199451600618</v>
      </c>
      <c r="AZ54" s="196">
        <f t="shared" si="13"/>
        <v>1.3727809001524396</v>
      </c>
      <c r="BA54" s="196">
        <f t="shared" si="13"/>
        <v>1.3074103810975612</v>
      </c>
      <c r="BB54" s="196">
        <f t="shared" si="13"/>
        <v>1.2451527439024392</v>
      </c>
      <c r="BC54" s="196">
        <f t="shared" si="13"/>
        <v>1.1858597560975612</v>
      </c>
      <c r="BD54" s="196">
        <f t="shared" si="13"/>
        <v>1.1293902439024393</v>
      </c>
      <c r="BE54" s="196">
        <f t="shared" si="13"/>
        <v>1.1025000000000003</v>
      </c>
      <c r="BF54" s="196">
        <f t="shared" si="13"/>
        <v>1.0756097560975613</v>
      </c>
      <c r="BG54" s="196">
        <f t="shared" si="13"/>
        <v>1.05</v>
      </c>
      <c r="BH54" s="196">
        <f t="shared" si="13"/>
        <v>1.05</v>
      </c>
      <c r="BI54" s="196">
        <f t="shared" si="13"/>
        <v>1.05</v>
      </c>
      <c r="BJ54" s="196">
        <f t="shared" si="13"/>
        <v>1.0243902439024393</v>
      </c>
      <c r="BK54" s="196">
        <f t="shared" si="13"/>
        <v>1</v>
      </c>
    </row>
    <row r="55" spans="1:63" x14ac:dyDescent="0.2">
      <c r="A55" s="147"/>
      <c r="B55" s="146"/>
      <c r="C55" s="148"/>
      <c r="D55" s="149"/>
      <c r="E55" s="150"/>
      <c r="F55" s="148"/>
      <c r="G55" s="151"/>
      <c r="J55" s="2"/>
      <c r="K55" t="s">
        <v>198</v>
      </c>
      <c r="L55" t="s">
        <v>199</v>
      </c>
    </row>
    <row r="56" spans="1:63" x14ac:dyDescent="0.2">
      <c r="A56" t="s">
        <v>9</v>
      </c>
      <c r="C56" s="19">
        <f>SUM(C14:C55)</f>
        <v>2224255056.247673</v>
      </c>
      <c r="D56" s="97"/>
      <c r="E56" s="19">
        <f>SUM(E14:E55)</f>
        <v>3054706584</v>
      </c>
      <c r="F56" s="19">
        <f>SUM(F14:F55)</f>
        <v>1285351153.8800001</v>
      </c>
      <c r="G56" s="38">
        <f t="shared" ref="G56" si="14">ROUND(F56/E56,3)</f>
        <v>0.42099999999999999</v>
      </c>
      <c r="J56" s="2"/>
      <c r="K56" s="55">
        <f>'[2]TICO 2'!$E$1</f>
        <v>45199</v>
      </c>
      <c r="L56" s="55">
        <f>'[2]TICO 2'!$E$2</f>
        <v>45291</v>
      </c>
    </row>
    <row r="57" spans="1:63" ht="12" thickBot="1" x14ac:dyDescent="0.25">
      <c r="A57" s="6"/>
      <c r="B57" s="6"/>
      <c r="C57" s="6"/>
      <c r="D57" s="6"/>
      <c r="E57" s="6"/>
      <c r="F57" s="6"/>
      <c r="G57" s="6"/>
      <c r="J57" s="2"/>
    </row>
    <row r="58" spans="1:63" ht="12" thickTop="1" x14ac:dyDescent="0.2">
      <c r="J58" s="2"/>
    </row>
    <row r="59" spans="1:63" x14ac:dyDescent="0.2">
      <c r="A59" t="s">
        <v>17</v>
      </c>
      <c r="J59" s="2"/>
    </row>
    <row r="60" spans="1:63" x14ac:dyDescent="0.2">
      <c r="A60" s="12" t="str">
        <f>C12&amp;" Provided by TDI.  Accident years ending "&amp;TEXT($K$56,"m/d/xx")&amp;" as of "&amp;TEXT($L$56,"m/d/yyyy")</f>
        <v>(2) Provided by TDI.  Accident years ending 9/30/xx as of 12/31/2023</v>
      </c>
      <c r="J60" s="2"/>
    </row>
    <row r="61" spans="1:63" x14ac:dyDescent="0.2">
      <c r="A61" s="12" t="str">
        <f>D12&amp;" 1987 and prior judgementally selected; 1988 - "&amp;YEAR(L56)&amp;" based on TWIA on-level factors"</f>
        <v>(3) 1987 and prior judgementally selected; 1988 - 2023 based on TWIA on-level factors</v>
      </c>
      <c r="J61" s="2"/>
    </row>
    <row r="62" spans="1:63" x14ac:dyDescent="0.2">
      <c r="A62" s="12" t="str">
        <f>E12&amp;" = "&amp;C12&amp;" * "&amp;D12</f>
        <v>(4) = (2) * (3)</v>
      </c>
      <c r="J62" s="2"/>
      <c r="K62" s="29"/>
    </row>
    <row r="63" spans="1:63" x14ac:dyDescent="0.2">
      <c r="A63" s="12" t="str">
        <f>F12&amp;" Provided by TDI. Accident years ending "&amp;TEXT($K$56,"m/d/xx")&amp;" as of "&amp;TEXT($L$56,"m/d/yyyy")&amp;"; "&amp;" 2008 IKE incurred loss was adjusted down by $206,858,309"</f>
        <v>(5) Provided by TDI. Accident years ending 9/30/xx as of 12/31/2023;  2008 IKE incurred loss was adjusted down by $206,858,309</v>
      </c>
      <c r="J63" s="2"/>
      <c r="K63" s="29"/>
    </row>
    <row r="64" spans="1:63" x14ac:dyDescent="0.2">
      <c r="A64" t="s">
        <v>295</v>
      </c>
      <c r="J64" s="2"/>
    </row>
    <row r="65" spans="1:10" ht="12" thickBot="1" x14ac:dyDescent="0.25">
      <c r="A65" s="12" t="str">
        <f>G12&amp;" = "&amp;F12&amp;" / "&amp;E12</f>
        <v>(6) = (5) / (4)</v>
      </c>
      <c r="B65" s="12"/>
      <c r="D65" s="42"/>
      <c r="E65" s="42"/>
      <c r="F65" s="42"/>
      <c r="G65" s="22"/>
      <c r="J65" s="2"/>
    </row>
    <row r="66" spans="1:10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>
    <tabColor rgb="FF00FF00"/>
  </sheetPr>
  <dimension ref="A1:O67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92</v>
      </c>
      <c r="J1" s="1"/>
      <c r="N1" t="s">
        <v>369</v>
      </c>
      <c r="O1" t="s">
        <v>385</v>
      </c>
    </row>
    <row r="2" spans="1:15" x14ac:dyDescent="0.2">
      <c r="A2" s="8" t="str">
        <f>'1'!$A$2</f>
        <v>Residential Property - Wind &amp; Hail</v>
      </c>
      <c r="B2" s="12"/>
      <c r="I2" s="7" t="s">
        <v>86</v>
      </c>
      <c r="J2" s="2"/>
      <c r="N2" t="s">
        <v>369</v>
      </c>
      <c r="O2" t="s">
        <v>390</v>
      </c>
    </row>
    <row r="3" spans="1:15" x14ac:dyDescent="0.2">
      <c r="A3" s="8" t="str">
        <f>'1'!$A$3</f>
        <v>Rate Level Review</v>
      </c>
      <c r="B3" s="12"/>
      <c r="J3" s="2"/>
      <c r="N3" t="s">
        <v>369</v>
      </c>
      <c r="O3" t="s">
        <v>391</v>
      </c>
    </row>
    <row r="4" spans="1:15" x14ac:dyDescent="0.2">
      <c r="A4" t="s">
        <v>93</v>
      </c>
      <c r="B4" s="12"/>
      <c r="J4" s="2"/>
    </row>
    <row r="5" spans="1:15" x14ac:dyDescent="0.2">
      <c r="A5" t="s">
        <v>44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A8" t="s">
        <v>52</v>
      </c>
      <c r="J8" s="2"/>
    </row>
    <row r="9" spans="1:15" x14ac:dyDescent="0.2">
      <c r="A9" t="s">
        <v>53</v>
      </c>
      <c r="C9" s="12"/>
      <c r="D9" t="s">
        <v>36</v>
      </c>
      <c r="E9" t="s">
        <v>43</v>
      </c>
      <c r="J9" s="2"/>
      <c r="K9" s="17"/>
    </row>
    <row r="10" spans="1:15" x14ac:dyDescent="0.2">
      <c r="A10" t="s">
        <v>33</v>
      </c>
      <c r="C10" t="s">
        <v>112</v>
      </c>
      <c r="D10" t="s">
        <v>122</v>
      </c>
      <c r="E10" t="s">
        <v>41</v>
      </c>
      <c r="F10" t="s">
        <v>82</v>
      </c>
      <c r="G10" t="s">
        <v>82</v>
      </c>
      <c r="J10" s="2"/>
      <c r="K10" s="12"/>
    </row>
    <row r="11" spans="1:15" x14ac:dyDescent="0.2">
      <c r="A11" s="9" t="str">
        <f>TEXT(K57,"m/d")</f>
        <v>9/30</v>
      </c>
      <c r="B11" s="9"/>
      <c r="C11" s="9" t="s">
        <v>113</v>
      </c>
      <c r="D11" s="9" t="s">
        <v>123</v>
      </c>
      <c r="E11" s="9" t="s">
        <v>42</v>
      </c>
      <c r="F11" s="9" t="s">
        <v>40</v>
      </c>
      <c r="G11" s="9" t="s">
        <v>74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4">
        <v>1983</v>
      </c>
      <c r="C14" s="31">
        <v>2331938</v>
      </c>
      <c r="D14" s="28">
        <f>'6.4'!D14</f>
        <v>2.252543431048422</v>
      </c>
      <c r="E14" s="26">
        <f t="shared" ref="E14:E54" si="0">C14*D14</f>
        <v>5252791.6235121954</v>
      </c>
      <c r="F14" s="31">
        <v>377010</v>
      </c>
      <c r="G14" s="22">
        <f>F14/E14</f>
        <v>7.1773264013073157E-2</v>
      </c>
      <c r="J14" s="2"/>
    </row>
    <row r="15" spans="1:15" x14ac:dyDescent="0.2">
      <c r="A15" t="str">
        <f>TEXT(A14+1,"#")</f>
        <v>1984</v>
      </c>
      <c r="C15" s="31">
        <v>1632317</v>
      </c>
      <c r="D15" s="28">
        <f>'6.4'!D15</f>
        <v>2.252543431048422</v>
      </c>
      <c r="E15" s="26">
        <f t="shared" si="0"/>
        <v>3676864.9357386669</v>
      </c>
      <c r="F15" s="31">
        <v>249086</v>
      </c>
      <c r="G15" s="22">
        <f>F15/E15</f>
        <v>6.7744125594311408E-2</v>
      </c>
      <c r="J15" s="2"/>
    </row>
    <row r="16" spans="1:15" x14ac:dyDescent="0.2">
      <c r="A16" t="str">
        <f t="shared" ref="A16:A54" si="1">TEXT(A15+1,"#")</f>
        <v>1985</v>
      </c>
      <c r="C16" s="31">
        <v>2505564</v>
      </c>
      <c r="D16" s="28">
        <f>'6.4'!D16</f>
        <v>2.252543431048422</v>
      </c>
      <c r="E16" s="26">
        <f t="shared" si="0"/>
        <v>5643891.7292714082</v>
      </c>
      <c r="F16" s="31">
        <v>467721</v>
      </c>
      <c r="G16" s="22">
        <f>F16/E16</f>
        <v>8.2872071690216487E-2</v>
      </c>
      <c r="J16" s="2"/>
    </row>
    <row r="17" spans="1:10" x14ac:dyDescent="0.2">
      <c r="A17" t="str">
        <f t="shared" si="1"/>
        <v>1986</v>
      </c>
      <c r="C17" s="31">
        <v>2977992</v>
      </c>
      <c r="D17" s="28">
        <f>'6.4'!D17</f>
        <v>2.252543431048422</v>
      </c>
      <c r="E17" s="26">
        <f t="shared" si="0"/>
        <v>6708056.3173147524</v>
      </c>
      <c r="F17" s="31">
        <v>189449</v>
      </c>
      <c r="G17" s="22">
        <f t="shared" ref="G17:G47" si="2">ROUND(F17/E17,3)</f>
        <v>2.8000000000000001E-2</v>
      </c>
      <c r="J17" s="2"/>
    </row>
    <row r="18" spans="1:10" x14ac:dyDescent="0.2">
      <c r="A18" t="str">
        <f t="shared" si="1"/>
        <v>1987</v>
      </c>
      <c r="C18" s="31">
        <v>3639667</v>
      </c>
      <c r="D18" s="28">
        <f>'6.4'!D18</f>
        <v>2.252543431048422</v>
      </c>
      <c r="E18" s="26">
        <f t="shared" si="0"/>
        <v>8198507.9920537174</v>
      </c>
      <c r="F18" s="31">
        <v>335212</v>
      </c>
      <c r="G18" s="22">
        <f t="shared" si="2"/>
        <v>4.1000000000000002E-2</v>
      </c>
      <c r="J18" s="2"/>
    </row>
    <row r="19" spans="1:10" x14ac:dyDescent="0.2">
      <c r="A19" t="str">
        <f t="shared" si="1"/>
        <v>1988</v>
      </c>
      <c r="C19" s="108">
        <v>3971251</v>
      </c>
      <c r="D19" s="28">
        <f>'6.4'!D19</f>
        <v>2.3150497749726844</v>
      </c>
      <c r="E19" s="26">
        <f t="shared" si="0"/>
        <v>9193643.7339100484</v>
      </c>
      <c r="F19" s="108">
        <v>626491</v>
      </c>
      <c r="G19" s="22">
        <f t="shared" si="2"/>
        <v>6.8000000000000005E-2</v>
      </c>
      <c r="J19" s="2"/>
    </row>
    <row r="20" spans="1:10" x14ac:dyDescent="0.2">
      <c r="A20" t="str">
        <f t="shared" si="1"/>
        <v>1989</v>
      </c>
      <c r="C20" s="108">
        <v>3702536</v>
      </c>
      <c r="D20" s="28">
        <f>'6.4'!D20</f>
        <v>2.3811241343006575</v>
      </c>
      <c r="E20" s="26">
        <f t="shared" si="0"/>
        <v>8816197.8277170192</v>
      </c>
      <c r="F20" s="108">
        <v>550215</v>
      </c>
      <c r="G20" s="22">
        <f t="shared" si="2"/>
        <v>6.2E-2</v>
      </c>
      <c r="J20" s="2"/>
    </row>
    <row r="21" spans="1:10" x14ac:dyDescent="0.2">
      <c r="A21" t="str">
        <f t="shared" si="1"/>
        <v>1990</v>
      </c>
      <c r="C21" s="108">
        <v>3519306</v>
      </c>
      <c r="D21" s="28">
        <f>'6.4'!D21</f>
        <v>2.3447800436244783</v>
      </c>
      <c r="E21" s="26">
        <f t="shared" si="0"/>
        <v>8251998.4762078887</v>
      </c>
      <c r="F21" s="108">
        <v>955271</v>
      </c>
      <c r="G21" s="22">
        <f>ROUND(F21/E21,3)</f>
        <v>0.11600000000000001</v>
      </c>
      <c r="J21" s="2"/>
    </row>
    <row r="22" spans="1:10" x14ac:dyDescent="0.2">
      <c r="A22" t="str">
        <f t="shared" si="1"/>
        <v>1991</v>
      </c>
      <c r="C22" s="53">
        <f>'[2]TICO 2'!P38</f>
        <v>4065189.7500367453</v>
      </c>
      <c r="D22" s="28">
        <f>'6.4'!D22</f>
        <v>2.0529144384529867</v>
      </c>
      <c r="E22" s="26">
        <f t="shared" si="0"/>
        <v>8345486.7329015229</v>
      </c>
      <c r="F22" s="53">
        <f>'[2]TICO 2'!V38</f>
        <v>1367254.07</v>
      </c>
      <c r="G22" s="22">
        <f t="shared" si="2"/>
        <v>0.16400000000000001</v>
      </c>
      <c r="J22" s="2"/>
    </row>
    <row r="23" spans="1:10" x14ac:dyDescent="0.2">
      <c r="A23" t="str">
        <f t="shared" si="1"/>
        <v>1992</v>
      </c>
      <c r="B23" s="12"/>
      <c r="C23" s="53">
        <f>'[2]TICO 2'!P39</f>
        <v>3907711.7768190652</v>
      </c>
      <c r="D23" s="28">
        <f>'6.4'!D23</f>
        <v>2.5309904035721749</v>
      </c>
      <c r="E23" s="26">
        <f t="shared" si="0"/>
        <v>9890381.0070550255</v>
      </c>
      <c r="F23" s="53">
        <f>'[2]TICO 2'!V39</f>
        <v>1170577.6100000001</v>
      </c>
      <c r="G23" s="22">
        <f t="shared" si="2"/>
        <v>0.11799999999999999</v>
      </c>
      <c r="J23" s="2"/>
    </row>
    <row r="24" spans="1:10" x14ac:dyDescent="0.2">
      <c r="A24" t="str">
        <f t="shared" si="1"/>
        <v>1993</v>
      </c>
      <c r="B24" s="12"/>
      <c r="C24" s="53">
        <f>'[2]TICO 2'!P40</f>
        <v>4552394.5717778727</v>
      </c>
      <c r="D24" s="28">
        <f>'6.4'!D24</f>
        <v>3.4926710673113193</v>
      </c>
      <c r="E24" s="26">
        <f t="shared" si="0"/>
        <v>15900016.807833679</v>
      </c>
      <c r="F24" s="53">
        <f>'[2]TICO 2'!V40</f>
        <v>1312776.43</v>
      </c>
      <c r="G24" s="22">
        <f t="shared" si="2"/>
        <v>8.3000000000000004E-2</v>
      </c>
      <c r="J24" s="2"/>
    </row>
    <row r="25" spans="1:10" x14ac:dyDescent="0.2">
      <c r="A25" t="str">
        <f t="shared" si="1"/>
        <v>1994</v>
      </c>
      <c r="B25" s="12"/>
      <c r="C25" s="53">
        <f>'[2]TICO 2'!P41</f>
        <v>5710806.3158280402</v>
      </c>
      <c r="D25" s="28">
        <f>'6.4'!D25</f>
        <v>3.0896705595446288</v>
      </c>
      <c r="E25" s="26">
        <f t="shared" si="0"/>
        <v>17644510.145275421</v>
      </c>
      <c r="F25" s="53">
        <f>'[2]TICO 2'!V41</f>
        <v>856368.8</v>
      </c>
      <c r="G25" s="22">
        <f t="shared" si="2"/>
        <v>4.9000000000000002E-2</v>
      </c>
      <c r="J25" s="2"/>
    </row>
    <row r="26" spans="1:10" x14ac:dyDescent="0.2">
      <c r="A26" t="str">
        <f t="shared" si="1"/>
        <v>1995</v>
      </c>
      <c r="C26" s="53">
        <f>'[2]TICO 2'!P42</f>
        <v>6908551.5027388204</v>
      </c>
      <c r="D26" s="28">
        <f>'6.4'!D26</f>
        <v>2.7463738307063363</v>
      </c>
      <c r="E26" s="26">
        <f t="shared" si="0"/>
        <v>18973465.055208832</v>
      </c>
      <c r="F26" s="53">
        <f>'[2]TICO 2'!V42</f>
        <v>1552987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'[2]TICO 2'!P43</f>
        <v>8568167.9449975789</v>
      </c>
      <c r="D27" s="28">
        <f>'6.4'!D27</f>
        <v>2.4717364476357027</v>
      </c>
      <c r="E27" s="26">
        <f t="shared" si="0"/>
        <v>21178252.999114413</v>
      </c>
      <c r="F27" s="53">
        <f>'[2]TICO 2'!V43</f>
        <v>1061115</v>
      </c>
      <c r="G27" s="22">
        <f t="shared" si="2"/>
        <v>0.05</v>
      </c>
      <c r="J27" s="2"/>
    </row>
    <row r="28" spans="1:10" x14ac:dyDescent="0.2">
      <c r="A28" t="str">
        <f t="shared" si="1"/>
        <v>1997</v>
      </c>
      <c r="C28" s="53">
        <f>'[2]TICO 2'!P44</f>
        <v>8425344.4375255592</v>
      </c>
      <c r="D28" s="28">
        <f>'6.4'!D28</f>
        <v>2.4717364476357027</v>
      </c>
      <c r="E28" s="26">
        <f t="shared" si="0"/>
        <v>20825230.930116653</v>
      </c>
      <c r="F28" s="53">
        <f>'[2]TICO 2'!V44</f>
        <v>882561</v>
      </c>
      <c r="G28" s="22">
        <f t="shared" si="2"/>
        <v>4.2000000000000003E-2</v>
      </c>
      <c r="J28" s="2"/>
    </row>
    <row r="29" spans="1:10" x14ac:dyDescent="0.2">
      <c r="A29" t="str">
        <f t="shared" si="1"/>
        <v>1998</v>
      </c>
      <c r="C29" s="53">
        <f>'[2]TICO 2'!P45</f>
        <v>8803621.2708639801</v>
      </c>
      <c r="D29" s="28">
        <f>'6.4'!D29</f>
        <v>2.4692671804552475</v>
      </c>
      <c r="E29" s="26">
        <f t="shared" si="0"/>
        <v>21738493.073302142</v>
      </c>
      <c r="F29" s="53">
        <f>'[2]TICO 2'!V45</f>
        <v>2289890</v>
      </c>
      <c r="G29" s="22">
        <f t="shared" si="2"/>
        <v>0.105</v>
      </c>
      <c r="J29" s="2"/>
    </row>
    <row r="30" spans="1:10" x14ac:dyDescent="0.2">
      <c r="A30" t="str">
        <f t="shared" si="1"/>
        <v>1999</v>
      </c>
      <c r="C30" s="53">
        <f>'[2]TICO 2'!P46</f>
        <v>8465255.5940993391</v>
      </c>
      <c r="D30" s="28">
        <f>'6.4'!D30</f>
        <v>2.5884604847343118</v>
      </c>
      <c r="E30" s="26">
        <f t="shared" si="0"/>
        <v>21911979.598502219</v>
      </c>
      <c r="F30" s="53">
        <f>'[2]TICO 2'!V46</f>
        <v>3778386</v>
      </c>
      <c r="G30" s="22">
        <f t="shared" si="2"/>
        <v>0.17199999999999999</v>
      </c>
      <c r="J30" s="2"/>
    </row>
    <row r="31" spans="1:10" x14ac:dyDescent="0.2">
      <c r="A31" t="str">
        <f t="shared" si="1"/>
        <v>2000</v>
      </c>
      <c r="C31" s="53">
        <f>'[2]TICO 2'!P47</f>
        <v>8437094.0914586801</v>
      </c>
      <c r="D31" s="28">
        <f>'6.4'!D31</f>
        <v>2.6092385660329733</v>
      </c>
      <c r="E31" s="26">
        <f t="shared" si="0"/>
        <v>22014391.288682919</v>
      </c>
      <c r="F31" s="53">
        <f>'[2]TICO 2'!V47</f>
        <v>485581</v>
      </c>
      <c r="G31" s="22">
        <f t="shared" si="2"/>
        <v>2.1999999999999999E-2</v>
      </c>
      <c r="J31" s="2"/>
    </row>
    <row r="32" spans="1:10" x14ac:dyDescent="0.2">
      <c r="A32" t="str">
        <f t="shared" si="1"/>
        <v>2001</v>
      </c>
      <c r="C32" s="53">
        <f>'[2]TICO 2'!P48</f>
        <v>8894551.5983342603</v>
      </c>
      <c r="D32" s="28">
        <f>'6.4'!D32</f>
        <v>2.2927423481211551</v>
      </c>
      <c r="E32" s="26">
        <f t="shared" si="0"/>
        <v>20392915.117049664</v>
      </c>
      <c r="F32" s="53">
        <f>'[2]TICO 2'!V48</f>
        <v>1394445</v>
      </c>
      <c r="G32" s="22">
        <f t="shared" si="2"/>
        <v>6.8000000000000005E-2</v>
      </c>
      <c r="J32" s="2"/>
    </row>
    <row r="33" spans="1:10" x14ac:dyDescent="0.2">
      <c r="A33" t="str">
        <f t="shared" si="1"/>
        <v>2002</v>
      </c>
      <c r="C33" s="53">
        <f>'[2]TICO 2'!P49</f>
        <v>10534795</v>
      </c>
      <c r="D33" s="28">
        <f>'6.4'!D33</f>
        <v>2.1137730087108539</v>
      </c>
      <c r="E33" s="26">
        <f t="shared" si="0"/>
        <v>22268165.32330206</v>
      </c>
      <c r="F33" s="53">
        <f>'[2]TICO 2'!V49</f>
        <v>1227528</v>
      </c>
      <c r="G33" s="22">
        <f t="shared" si="2"/>
        <v>5.5E-2</v>
      </c>
      <c r="J33" s="2"/>
    </row>
    <row r="34" spans="1:10" x14ac:dyDescent="0.2">
      <c r="A34" t="str">
        <f t="shared" si="1"/>
        <v>2003</v>
      </c>
      <c r="C34" s="53">
        <f>'[2]TICO 2'!P50</f>
        <v>13881847</v>
      </c>
      <c r="D34" s="28">
        <f>'6.4'!D34</f>
        <v>2.1137730087108539</v>
      </c>
      <c r="E34" s="26">
        <f t="shared" si="0"/>
        <v>29343073.499653742</v>
      </c>
      <c r="F34" s="53">
        <f>'[2]TICO 2'!V50</f>
        <v>2295803</v>
      </c>
      <c r="G34" s="22">
        <f t="shared" si="2"/>
        <v>7.8E-2</v>
      </c>
      <c r="J34" s="2"/>
    </row>
    <row r="35" spans="1:10" x14ac:dyDescent="0.2">
      <c r="A35" t="str">
        <f t="shared" si="1"/>
        <v>2004</v>
      </c>
      <c r="C35" s="53">
        <f>'[2]TICO 2'!P51</f>
        <v>15458506</v>
      </c>
      <c r="D35" s="28">
        <f>'6.4'!D35</f>
        <v>2.0155786842906265</v>
      </c>
      <c r="E35" s="26">
        <f t="shared" si="0"/>
        <v>31157835.184578754</v>
      </c>
      <c r="F35" s="53">
        <f>'[2]TICO 2'!V51</f>
        <v>569877</v>
      </c>
      <c r="G35" s="22">
        <f t="shared" si="2"/>
        <v>1.7999999999999999E-2</v>
      </c>
      <c r="J35" s="2"/>
    </row>
    <row r="36" spans="1:10" x14ac:dyDescent="0.2">
      <c r="A36" t="str">
        <f t="shared" si="1"/>
        <v>2005</v>
      </c>
      <c r="C36" s="53">
        <f>'[2]TICO 2'!P52</f>
        <v>17471646</v>
      </c>
      <c r="D36" s="28">
        <f>'6.4'!D36</f>
        <v>1.9286250079478586</v>
      </c>
      <c r="E36" s="26">
        <f t="shared" si="0"/>
        <v>33696253.405612171</v>
      </c>
      <c r="F36" s="53">
        <f>'[2]TICO 2'!V52</f>
        <v>872451</v>
      </c>
      <c r="G36" s="22">
        <f t="shared" si="2"/>
        <v>2.5999999999999999E-2</v>
      </c>
      <c r="J36" s="2"/>
    </row>
    <row r="37" spans="1:10" x14ac:dyDescent="0.2">
      <c r="A37" t="str">
        <f t="shared" si="1"/>
        <v>2006</v>
      </c>
      <c r="C37" s="53">
        <f>'[2]TICO 2'!P53</f>
        <v>19888512</v>
      </c>
      <c r="D37" s="28">
        <f>'6.4'!D37</f>
        <v>1.9239964550740354</v>
      </c>
      <c r="E37" s="26">
        <f t="shared" si="0"/>
        <v>38265426.58469741</v>
      </c>
      <c r="F37" s="53">
        <f>'[2]TICO 2'!V53</f>
        <v>621501</v>
      </c>
      <c r="G37" s="22">
        <f t="shared" si="2"/>
        <v>1.6E-2</v>
      </c>
      <c r="J37" s="2"/>
    </row>
    <row r="38" spans="1:10" x14ac:dyDescent="0.2">
      <c r="A38" t="str">
        <f t="shared" si="1"/>
        <v>2007</v>
      </c>
      <c r="B38" s="23"/>
      <c r="C38" s="53">
        <f>'[2]TICO 2'!P54</f>
        <v>29704042</v>
      </c>
      <c r="D38" s="28">
        <f>'6.4'!D38</f>
        <v>1.8364634726042235</v>
      </c>
      <c r="E38" s="26">
        <f t="shared" si="0"/>
        <v>54550388.121701702</v>
      </c>
      <c r="F38" s="53">
        <f>'[2]TICO 2'!V54</f>
        <v>833793</v>
      </c>
      <c r="G38" s="38">
        <f t="shared" si="2"/>
        <v>1.4999999999999999E-2</v>
      </c>
      <c r="J38" s="2"/>
    </row>
    <row r="39" spans="1:10" x14ac:dyDescent="0.2">
      <c r="A39" t="str">
        <f t="shared" si="1"/>
        <v>2008</v>
      </c>
      <c r="C39" s="53">
        <f>'[2]TICO 2'!P55</f>
        <v>40565108</v>
      </c>
      <c r="D39" s="28">
        <f>'6.4'!D39</f>
        <v>1.7320113079002213</v>
      </c>
      <c r="E39" s="26">
        <f t="shared" si="0"/>
        <v>70259225.762193725</v>
      </c>
      <c r="F39" s="53">
        <f>'[2]TICO 2'!V55</f>
        <v>1468028</v>
      </c>
      <c r="G39" s="38">
        <f t="shared" si="2"/>
        <v>2.1000000000000001E-2</v>
      </c>
      <c r="J39" s="2"/>
    </row>
    <row r="40" spans="1:10" x14ac:dyDescent="0.2">
      <c r="A40" t="str">
        <f t="shared" si="1"/>
        <v>2009</v>
      </c>
      <c r="C40" s="53">
        <f>'[2]TICO 2'!P56</f>
        <v>46363445</v>
      </c>
      <c r="D40" s="28">
        <f>'6.4'!D40</f>
        <v>1.5736409509560276</v>
      </c>
      <c r="E40" s="26">
        <f t="shared" si="0"/>
        <v>72959415.679397479</v>
      </c>
      <c r="F40" s="53">
        <f>'[2]TICO 2'!V56</f>
        <v>615469</v>
      </c>
      <c r="G40" s="38">
        <f t="shared" si="2"/>
        <v>8.0000000000000002E-3</v>
      </c>
      <c r="J40" s="2"/>
    </row>
    <row r="41" spans="1:10" x14ac:dyDescent="0.2">
      <c r="A41" t="str">
        <f t="shared" si="1"/>
        <v>2010</v>
      </c>
      <c r="C41" s="53">
        <f>'[2]TICO 2'!P57</f>
        <v>51529115</v>
      </c>
      <c r="D41" s="28">
        <f>'6.4'!D41</f>
        <v>1.4778548957967284</v>
      </c>
      <c r="E41" s="26">
        <f t="shared" si="0"/>
        <v>76152554.878822625</v>
      </c>
      <c r="F41" s="53">
        <f>'[2]TICO 2'!V57</f>
        <v>4059049</v>
      </c>
      <c r="G41" s="38">
        <f t="shared" si="2"/>
        <v>5.2999999999999999E-2</v>
      </c>
      <c r="J41" s="2"/>
    </row>
    <row r="42" spans="1:10" x14ac:dyDescent="0.2">
      <c r="A42" t="str">
        <f t="shared" si="1"/>
        <v>2011</v>
      </c>
      <c r="C42" s="53">
        <f>'[2]TICO 2'!P58</f>
        <v>52931755</v>
      </c>
      <c r="D42" s="28">
        <f>'6.4'!D42</f>
        <v>1.4413525093000297</v>
      </c>
      <c r="E42" s="26">
        <f t="shared" si="0"/>
        <v>76293317.890904397</v>
      </c>
      <c r="F42" s="53">
        <f>'[2]TICO 2'!V58</f>
        <v>19845538</v>
      </c>
      <c r="G42" s="38">
        <f t="shared" si="2"/>
        <v>0.26</v>
      </c>
      <c r="J42" s="2"/>
    </row>
    <row r="43" spans="1:10" x14ac:dyDescent="0.2">
      <c r="A43" t="str">
        <f t="shared" si="1"/>
        <v>2012</v>
      </c>
      <c r="C43" s="53">
        <f>'[2]TICO 2'!P59</f>
        <v>56334273</v>
      </c>
      <c r="D43" s="28">
        <f>'6.4'!D43</f>
        <v>1.3727418575616306</v>
      </c>
      <c r="E43" s="26">
        <f t="shared" si="0"/>
        <v>77332414.562404007</v>
      </c>
      <c r="F43" s="53">
        <f>'[2]TICO 2'!V59</f>
        <v>21291155</v>
      </c>
      <c r="G43" s="38">
        <f t="shared" si="2"/>
        <v>0.27500000000000002</v>
      </c>
      <c r="J43" s="2"/>
    </row>
    <row r="44" spans="1:10" x14ac:dyDescent="0.2">
      <c r="A44" t="str">
        <f t="shared" si="1"/>
        <v>2013</v>
      </c>
      <c r="C44" s="53">
        <f>'[2]TICO 2'!P60</f>
        <v>60101696</v>
      </c>
      <c r="D44" s="28">
        <f>'6.4'!D44</f>
        <v>1.3075493593415137</v>
      </c>
      <c r="E44" s="26">
        <f t="shared" si="0"/>
        <v>78585934.100138411</v>
      </c>
      <c r="F44" s="53">
        <f>'[2]TICO 2'!V60</f>
        <v>6825640</v>
      </c>
      <c r="G44" s="38">
        <f t="shared" si="2"/>
        <v>8.6999999999999994E-2</v>
      </c>
      <c r="J44" s="2"/>
    </row>
    <row r="45" spans="1:10" x14ac:dyDescent="0.2">
      <c r="A45" t="str">
        <f t="shared" si="1"/>
        <v>2014</v>
      </c>
      <c r="C45" s="53">
        <f>'[2]TICO 2'!P61</f>
        <v>65642137</v>
      </c>
      <c r="D45" s="28">
        <f>'6.4'!D45</f>
        <v>1.2455465141622082</v>
      </c>
      <c r="E45" s="26">
        <f t="shared" si="0"/>
        <v>81760334.922508106</v>
      </c>
      <c r="F45" s="53">
        <f>'[2]TICO 2'!V61</f>
        <v>1914066</v>
      </c>
      <c r="G45" s="38">
        <f t="shared" si="2"/>
        <v>2.3E-2</v>
      </c>
      <c r="J45" s="2"/>
    </row>
    <row r="46" spans="1:10" x14ac:dyDescent="0.2">
      <c r="A46" t="str">
        <f t="shared" si="1"/>
        <v>2015</v>
      </c>
      <c r="C46" s="53">
        <f>'[2]TICO 2'!P62</f>
        <v>72124134</v>
      </c>
      <c r="D46" s="28">
        <f>'6.4'!D46</f>
        <v>1.1864644900727379</v>
      </c>
      <c r="E46" s="26">
        <f t="shared" si="0"/>
        <v>85572723.868247822</v>
      </c>
      <c r="F46" s="53">
        <f>'[2]TICO 2'!V62</f>
        <v>9924249</v>
      </c>
      <c r="G46" s="38">
        <f t="shared" si="2"/>
        <v>0.11600000000000001</v>
      </c>
      <c r="J46" s="2"/>
    </row>
    <row r="47" spans="1:10" x14ac:dyDescent="0.2">
      <c r="A47" t="str">
        <f t="shared" si="1"/>
        <v>2016</v>
      </c>
      <c r="C47" s="53">
        <f>'[2]TICO 2'!P63</f>
        <v>76436084</v>
      </c>
      <c r="D47" s="28">
        <f>'6.4'!D47</f>
        <v>1.1303877408726286</v>
      </c>
      <c r="E47" s="26">
        <f t="shared" si="0"/>
        <v>86402412.313910469</v>
      </c>
      <c r="F47" s="53">
        <f>'[2]TICO 2'!V63</f>
        <v>10445691</v>
      </c>
      <c r="G47" s="38">
        <f t="shared" si="2"/>
        <v>0.121</v>
      </c>
      <c r="J47" s="2"/>
    </row>
    <row r="48" spans="1:10" x14ac:dyDescent="0.2">
      <c r="A48" t="str">
        <f t="shared" si="1"/>
        <v>2017</v>
      </c>
      <c r="C48" s="53">
        <f>'[2]TICO 2'!P64</f>
        <v>77008517</v>
      </c>
      <c r="D48" s="28">
        <f>'6.4'!D48</f>
        <v>1.1025000000000003</v>
      </c>
      <c r="E48" s="26">
        <f t="shared" si="0"/>
        <v>84901889.992500022</v>
      </c>
      <c r="F48" s="53">
        <f>'[2]TICO 2'!V64</f>
        <v>277308178</v>
      </c>
      <c r="G48" s="38">
        <f t="shared" ref="G48:G54" si="3">ROUND(F48/E48,3)</f>
        <v>3.266</v>
      </c>
      <c r="J48" s="2"/>
    </row>
    <row r="49" spans="1:12" x14ac:dyDescent="0.2">
      <c r="A49" t="str">
        <f t="shared" si="1"/>
        <v>2018</v>
      </c>
      <c r="C49" s="53">
        <f>'[2]TICO 2'!P65</f>
        <v>77031486</v>
      </c>
      <c r="D49" s="28">
        <f>'6.4'!D49</f>
        <v>1.0768211446107889</v>
      </c>
      <c r="E49" s="26">
        <f t="shared" si="0"/>
        <v>82949132.925589964</v>
      </c>
      <c r="F49" s="53">
        <f>'[2]TICO 2'!V65</f>
        <v>1671270</v>
      </c>
      <c r="G49" s="38">
        <f t="shared" si="3"/>
        <v>0.02</v>
      </c>
      <c r="J49" s="2"/>
    </row>
    <row r="50" spans="1:12" x14ac:dyDescent="0.2">
      <c r="A50" t="str">
        <f t="shared" si="1"/>
        <v>2019</v>
      </c>
      <c r="C50" s="53">
        <f>'[2]TICO 2'!P66</f>
        <v>76506580</v>
      </c>
      <c r="D50" s="28">
        <f>'6.4'!D50</f>
        <v>1.0499999999999947</v>
      </c>
      <c r="E50" s="26">
        <f t="shared" si="0"/>
        <v>80331908.999999598</v>
      </c>
      <c r="F50" s="53">
        <f>'[2]TICO 2'!V66</f>
        <v>1370278</v>
      </c>
      <c r="G50" s="38">
        <f t="shared" si="3"/>
        <v>1.7000000000000001E-2</v>
      </c>
      <c r="J50" s="2"/>
    </row>
    <row r="51" spans="1:12" x14ac:dyDescent="0.2">
      <c r="A51" t="str">
        <f t="shared" si="1"/>
        <v>2020</v>
      </c>
      <c r="C51" s="53">
        <f>'[2]TICO 2'!P67</f>
        <v>73290165</v>
      </c>
      <c r="D51" s="28">
        <f>'6.4'!D51</f>
        <v>1.0500000000000036</v>
      </c>
      <c r="E51" s="26">
        <f t="shared" si="0"/>
        <v>76954673.250000268</v>
      </c>
      <c r="F51" s="53">
        <f>'[2]TICO 2'!V67</f>
        <v>3057424</v>
      </c>
      <c r="G51" s="38">
        <f t="shared" si="3"/>
        <v>0.04</v>
      </c>
      <c r="J51" s="2"/>
    </row>
    <row r="52" spans="1:12" x14ac:dyDescent="0.2">
      <c r="A52" t="str">
        <f t="shared" si="1"/>
        <v>2021</v>
      </c>
      <c r="C52" s="53">
        <f>'[2]TICO 2'!P68</f>
        <v>71903454</v>
      </c>
      <c r="D52" s="28">
        <f>'6.4'!D52</f>
        <v>1.0500000000000056</v>
      </c>
      <c r="E52" s="26">
        <f t="shared" si="0"/>
        <v>75498626.700000405</v>
      </c>
      <c r="F52" s="53">
        <f>'[2]TICO 2'!V68</f>
        <v>1760966</v>
      </c>
      <c r="G52" s="38">
        <f t="shared" si="3"/>
        <v>2.3E-2</v>
      </c>
      <c r="J52" s="2"/>
    </row>
    <row r="53" spans="1:12" x14ac:dyDescent="0.2">
      <c r="A53" t="str">
        <f t="shared" si="1"/>
        <v>2022</v>
      </c>
      <c r="C53" s="53">
        <f>'[2]TICO 2'!P69</f>
        <v>74944777</v>
      </c>
      <c r="D53" s="28">
        <f>'6.4'!D53</f>
        <v>1.0228262738748721</v>
      </c>
      <c r="E53" s="26">
        <f t="shared" si="0"/>
        <v>76655487.00529322</v>
      </c>
      <c r="F53" s="53">
        <f>'[2]TICO 2'!V69</f>
        <v>1690303</v>
      </c>
      <c r="G53" s="38">
        <f t="shared" si="3"/>
        <v>2.1999999999999999E-2</v>
      </c>
      <c r="J53" s="2"/>
    </row>
    <row r="54" spans="1:12" x14ac:dyDescent="0.2">
      <c r="A54" t="str">
        <f t="shared" si="1"/>
        <v>2023</v>
      </c>
      <c r="C54" s="53">
        <f>'[2]TICO 2'!P70</f>
        <v>87065823</v>
      </c>
      <c r="D54" s="28">
        <f>'6.4'!D54</f>
        <v>1</v>
      </c>
      <c r="E54" s="26">
        <f t="shared" si="0"/>
        <v>87065823</v>
      </c>
      <c r="F54" s="53">
        <f>'[2]TICO 2'!V70</f>
        <v>2251737</v>
      </c>
      <c r="G54" s="38">
        <f t="shared" si="3"/>
        <v>2.5999999999999999E-2</v>
      </c>
      <c r="J54" s="2"/>
    </row>
    <row r="55" spans="1:12" x14ac:dyDescent="0.2">
      <c r="A55" s="146"/>
      <c r="B55" s="146"/>
      <c r="C55" s="148"/>
      <c r="D55" s="149"/>
      <c r="E55" s="150"/>
      <c r="F55" s="148"/>
      <c r="G55" s="151"/>
      <c r="J55" s="2"/>
    </row>
    <row r="56" spans="1:12" x14ac:dyDescent="0.2">
      <c r="A56" t="s">
        <v>9</v>
      </c>
      <c r="C56" s="26">
        <f>SUM(C14:C55)</f>
        <v>1267737156.8544798</v>
      </c>
      <c r="D56" s="26"/>
      <c r="E56" s="26">
        <f>SUM(E14:E55)</f>
        <v>1733514093.3622248</v>
      </c>
      <c r="F56" s="26">
        <f>SUM(F14:F55)</f>
        <v>391822390.90999997</v>
      </c>
      <c r="G56" s="22">
        <f>ROUND(F56/E56,3)</f>
        <v>0.22600000000000001</v>
      </c>
      <c r="J56" s="2"/>
      <c r="K56" t="s">
        <v>198</v>
      </c>
      <c r="L56" t="s">
        <v>199</v>
      </c>
    </row>
    <row r="57" spans="1:12" ht="12" thickBot="1" x14ac:dyDescent="0.25">
      <c r="A57" s="6"/>
      <c r="B57" s="6"/>
      <c r="C57" s="165"/>
      <c r="D57" s="6"/>
      <c r="E57" s="165"/>
      <c r="F57" s="165"/>
      <c r="G57" s="6"/>
      <c r="J57" s="2"/>
      <c r="K57" s="37">
        <f>'6.4'!K$56</f>
        <v>45199</v>
      </c>
      <c r="L57" s="37">
        <f>'6.4'!L$56</f>
        <v>45291</v>
      </c>
    </row>
    <row r="58" spans="1:12" ht="12" thickTop="1" x14ac:dyDescent="0.2">
      <c r="J58" s="2"/>
    </row>
    <row r="59" spans="1:12" x14ac:dyDescent="0.2">
      <c r="A59" t="s">
        <v>17</v>
      </c>
      <c r="J59" s="2"/>
    </row>
    <row r="60" spans="1:12" x14ac:dyDescent="0.2">
      <c r="J60" s="2"/>
    </row>
    <row r="61" spans="1:12" x14ac:dyDescent="0.2">
      <c r="A61" s="12" t="str">
        <f>C12&amp;" Provided by TDI.  Accident years ending "&amp;TEXT($K$57,"m/d/xx")&amp;" as of "&amp;TEXT($L$57,"m/d/yyyy")</f>
        <v>(2) Provided by TDI.  Accident years ending 9/30/xx as of 12/31/2023</v>
      </c>
      <c r="J61" s="2"/>
    </row>
    <row r="62" spans="1:12" x14ac:dyDescent="0.2">
      <c r="A62" s="12" t="str">
        <f>'6.4'!A61</f>
        <v>(3) 1987 and prior judgementally selected; 1988 - 2023 based on TWIA on-level factors</v>
      </c>
      <c r="J62" s="2"/>
    </row>
    <row r="63" spans="1:12" x14ac:dyDescent="0.2">
      <c r="A63" s="12" t="str">
        <f>E12&amp;" = "&amp;C12&amp;" * "&amp;D12</f>
        <v>(4) = (2) * (3)</v>
      </c>
      <c r="J63" s="2"/>
    </row>
    <row r="64" spans="1:12" x14ac:dyDescent="0.2">
      <c r="A64" s="12" t="str">
        <f>F12&amp;" Provided by TDI. Accident years ending "&amp;TEXT($K$57,"m/d/xx")&amp;" as of "&amp;TEXT($L$57,"m/d/yyyy")</f>
        <v>(5) Provided by TDI. Accident years ending 9/30/xx as of 12/31/2023</v>
      </c>
      <c r="J64" s="2"/>
    </row>
    <row r="65" spans="1:10" x14ac:dyDescent="0.2">
      <c r="A65" s="12" t="str">
        <f>G12&amp;" = "&amp;F12&amp;" / "&amp;E12</f>
        <v>(6) = (5) / (4)</v>
      </c>
      <c r="B65" s="23"/>
      <c r="J65" s="2"/>
    </row>
    <row r="66" spans="1:10" ht="12" thickBot="1" x14ac:dyDescent="0.25">
      <c r="B66" s="23"/>
      <c r="C66" s="42"/>
      <c r="D66" s="42"/>
      <c r="E66" s="42"/>
      <c r="F66" s="42"/>
      <c r="G66" s="22"/>
      <c r="J66" s="2"/>
    </row>
    <row r="67" spans="1:10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>
    <tabColor rgb="FF00FF00"/>
  </sheetPr>
  <dimension ref="A1:O66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92</v>
      </c>
      <c r="J1" s="1"/>
      <c r="N1" t="s">
        <v>369</v>
      </c>
      <c r="O1" t="s">
        <v>385</v>
      </c>
    </row>
    <row r="2" spans="1:15" x14ac:dyDescent="0.2">
      <c r="A2" s="8" t="str">
        <f>'1'!$A$2</f>
        <v>Residential Property - Wind &amp; Hail</v>
      </c>
      <c r="B2" s="12"/>
      <c r="I2" s="7" t="s">
        <v>124</v>
      </c>
      <c r="J2" s="2"/>
      <c r="N2" t="s">
        <v>369</v>
      </c>
      <c r="O2" t="s">
        <v>390</v>
      </c>
    </row>
    <row r="3" spans="1:15" x14ac:dyDescent="0.2">
      <c r="A3" s="8" t="str">
        <f>'1'!$A$3</f>
        <v>Rate Level Review</v>
      </c>
      <c r="B3" s="12"/>
      <c r="J3" s="2"/>
      <c r="N3" t="s">
        <v>369</v>
      </c>
      <c r="O3" t="s">
        <v>391</v>
      </c>
    </row>
    <row r="4" spans="1:15" x14ac:dyDescent="0.2">
      <c r="A4" t="s">
        <v>93</v>
      </c>
      <c r="B4" s="12"/>
      <c r="J4" s="2"/>
    </row>
    <row r="5" spans="1:15" x14ac:dyDescent="0.2">
      <c r="A5" t="s">
        <v>46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A8" t="s">
        <v>52</v>
      </c>
      <c r="J8" s="2"/>
    </row>
    <row r="9" spans="1:15" x14ac:dyDescent="0.2">
      <c r="A9" t="s">
        <v>53</v>
      </c>
      <c r="C9" s="194"/>
      <c r="D9" s="11" t="s">
        <v>36</v>
      </c>
      <c r="E9" s="11" t="s">
        <v>43</v>
      </c>
      <c r="F9" s="11"/>
      <c r="G9" s="11"/>
      <c r="J9" s="2"/>
      <c r="K9" s="17"/>
    </row>
    <row r="10" spans="1:15" x14ac:dyDescent="0.2">
      <c r="A10" t="s">
        <v>33</v>
      </c>
      <c r="C10" s="11" t="s">
        <v>112</v>
      </c>
      <c r="D10" s="11" t="s">
        <v>122</v>
      </c>
      <c r="E10" s="11" t="s">
        <v>41</v>
      </c>
      <c r="F10" s="11" t="s">
        <v>82</v>
      </c>
      <c r="G10" s="11" t="s">
        <v>82</v>
      </c>
      <c r="J10" s="2"/>
      <c r="K10" s="12"/>
    </row>
    <row r="11" spans="1:15" x14ac:dyDescent="0.2">
      <c r="A11" s="9" t="str">
        <f>TEXT(K57,"m/d")</f>
        <v>9/30</v>
      </c>
      <c r="B11" s="9"/>
      <c r="C11" s="125" t="s">
        <v>113</v>
      </c>
      <c r="D11" s="125" t="s">
        <v>123</v>
      </c>
      <c r="E11" s="125" t="s">
        <v>42</v>
      </c>
      <c r="F11" s="125" t="s">
        <v>40</v>
      </c>
      <c r="G11" s="125" t="s">
        <v>74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4">
        <v>1983</v>
      </c>
      <c r="C14" s="31">
        <v>5888781</v>
      </c>
      <c r="D14" s="28">
        <f>'6.4'!D14</f>
        <v>2.252543431048422</v>
      </c>
      <c r="E14" s="26">
        <f t="shared" ref="E14:E54" si="0">C14*D14</f>
        <v>13264734.958432758</v>
      </c>
      <c r="F14" s="31">
        <v>21953626</v>
      </c>
      <c r="G14" s="22">
        <f>F14/E14</f>
        <v>1.6550369131984408</v>
      </c>
      <c r="J14" s="2"/>
    </row>
    <row r="15" spans="1:15" x14ac:dyDescent="0.2">
      <c r="A15" t="str">
        <f>TEXT(A14+1,"#")</f>
        <v>1984</v>
      </c>
      <c r="C15" s="31">
        <v>3924651</v>
      </c>
      <c r="D15" s="28">
        <f>'6.4'!D15</f>
        <v>2.252543431048422</v>
      </c>
      <c r="E15" s="26">
        <f t="shared" si="0"/>
        <v>8840446.8292076197</v>
      </c>
      <c r="F15" s="31">
        <v>2135063</v>
      </c>
      <c r="G15" s="22">
        <f>F15/E15</f>
        <v>0.24151075632806768</v>
      </c>
      <c r="J15" s="2"/>
    </row>
    <row r="16" spans="1:15" x14ac:dyDescent="0.2">
      <c r="A16" t="str">
        <f t="shared" ref="A16:A54" si="1">TEXT(A15+1,"#")</f>
        <v>1985</v>
      </c>
      <c r="C16" s="31">
        <v>5808825</v>
      </c>
      <c r="D16" s="28">
        <f>'6.4'!D16</f>
        <v>2.252543431048422</v>
      </c>
      <c r="E16" s="26">
        <f t="shared" si="0"/>
        <v>13084630.59585985</v>
      </c>
      <c r="F16" s="31">
        <v>1055065</v>
      </c>
      <c r="G16" s="22">
        <f>F16/E16</f>
        <v>8.0633915666968578E-2</v>
      </c>
      <c r="J16" s="2"/>
    </row>
    <row r="17" spans="1:10" x14ac:dyDescent="0.2">
      <c r="A17" t="str">
        <f t="shared" si="1"/>
        <v>1986</v>
      </c>
      <c r="C17" s="31">
        <v>6993722</v>
      </c>
      <c r="D17" s="28">
        <f>'6.4'!D17</f>
        <v>2.252543431048422</v>
      </c>
      <c r="E17" s="26">
        <f t="shared" si="0"/>
        <v>15753662.549678832</v>
      </c>
      <c r="F17" s="31">
        <v>3338312</v>
      </c>
      <c r="G17" s="22">
        <f t="shared" ref="G17:G42" si="2">ROUND(F17/E17,3)</f>
        <v>0.21199999999999999</v>
      </c>
      <c r="J17" s="2"/>
    </row>
    <row r="18" spans="1:10" x14ac:dyDescent="0.2">
      <c r="A18" t="str">
        <f t="shared" si="1"/>
        <v>1987</v>
      </c>
      <c r="C18" s="31">
        <v>7677374</v>
      </c>
      <c r="D18" s="28">
        <f>'6.4'!D18</f>
        <v>2.252543431048422</v>
      </c>
      <c r="E18" s="26">
        <f t="shared" si="0"/>
        <v>17293618.371401947</v>
      </c>
      <c r="F18" s="31">
        <v>634637</v>
      </c>
      <c r="G18" s="22">
        <f t="shared" si="2"/>
        <v>3.6999999999999998E-2</v>
      </c>
      <c r="J18" s="2"/>
    </row>
    <row r="19" spans="1:10" x14ac:dyDescent="0.2">
      <c r="A19" t="str">
        <f t="shared" si="1"/>
        <v>1988</v>
      </c>
      <c r="C19" s="108">
        <v>8284768</v>
      </c>
      <c r="D19" s="28">
        <f>'6.4'!D19</f>
        <v>2.3150497749726844</v>
      </c>
      <c r="E19" s="26">
        <f t="shared" si="0"/>
        <v>19179650.294100896</v>
      </c>
      <c r="F19" s="108">
        <v>3434130</v>
      </c>
      <c r="G19" s="22">
        <f t="shared" si="2"/>
        <v>0.17899999999999999</v>
      </c>
      <c r="J19" s="2"/>
    </row>
    <row r="20" spans="1:10" x14ac:dyDescent="0.2">
      <c r="A20" t="str">
        <f t="shared" si="1"/>
        <v>1989</v>
      </c>
      <c r="C20" s="108">
        <v>7733295</v>
      </c>
      <c r="D20" s="28">
        <f>'6.4'!D20</f>
        <v>2.3811241343006575</v>
      </c>
      <c r="E20" s="26">
        <f t="shared" si="0"/>
        <v>18413935.362166602</v>
      </c>
      <c r="F20" s="108">
        <v>1670422</v>
      </c>
      <c r="G20" s="22">
        <f t="shared" si="2"/>
        <v>9.0999999999999998E-2</v>
      </c>
      <c r="J20" s="2"/>
    </row>
    <row r="21" spans="1:10" x14ac:dyDescent="0.2">
      <c r="A21" t="str">
        <f t="shared" si="1"/>
        <v>1990</v>
      </c>
      <c r="C21" s="108">
        <v>7568146</v>
      </c>
      <c r="D21" s="28">
        <f>'6.4'!D21</f>
        <v>2.3447800436244783</v>
      </c>
      <c r="E21" s="26">
        <f t="shared" si="0"/>
        <v>17745637.708036423</v>
      </c>
      <c r="F21" s="108">
        <v>2095151</v>
      </c>
      <c r="G21" s="22">
        <f t="shared" si="2"/>
        <v>0.11799999999999999</v>
      </c>
      <c r="J21" s="2"/>
    </row>
    <row r="22" spans="1:10" x14ac:dyDescent="0.2">
      <c r="A22" t="str">
        <f t="shared" si="1"/>
        <v>1991</v>
      </c>
      <c r="C22" s="53">
        <f>'[2]TICO 2'!Q38</f>
        <v>8287605.1148678698</v>
      </c>
      <c r="D22" s="28">
        <f>'6.4'!D22</f>
        <v>2.0529144384529867</v>
      </c>
      <c r="E22" s="26">
        <f t="shared" si="0"/>
        <v>17013744.200509075</v>
      </c>
      <c r="F22" s="53">
        <f>'[2]TICO 2'!W38</f>
        <v>22444043.98</v>
      </c>
      <c r="G22" s="22">
        <f t="shared" si="2"/>
        <v>1.319</v>
      </c>
      <c r="J22" s="2"/>
    </row>
    <row r="23" spans="1:10" x14ac:dyDescent="0.2">
      <c r="A23" t="str">
        <f t="shared" si="1"/>
        <v>1992</v>
      </c>
      <c r="B23" s="12"/>
      <c r="C23" s="53">
        <f>'[2]TICO 2'!Q39</f>
        <v>8059406.7247919552</v>
      </c>
      <c r="D23" s="28">
        <f>'6.4'!D23</f>
        <v>2.5309904035721749</v>
      </c>
      <c r="E23" s="26">
        <f t="shared" si="0"/>
        <v>20398281.078933492</v>
      </c>
      <c r="F23" s="53">
        <f>'[2]TICO 2'!W39</f>
        <v>1625107.79</v>
      </c>
      <c r="G23" s="22">
        <f t="shared" si="2"/>
        <v>0.08</v>
      </c>
      <c r="J23" s="2"/>
    </row>
    <row r="24" spans="1:10" x14ac:dyDescent="0.2">
      <c r="A24" t="str">
        <f t="shared" si="1"/>
        <v>1993</v>
      </c>
      <c r="B24" s="12"/>
      <c r="C24" s="53">
        <f>'[2]TICO 2'!Q40</f>
        <v>8448603.4214782007</v>
      </c>
      <c r="D24" s="28">
        <f>'6.4'!D24</f>
        <v>3.4926710673113193</v>
      </c>
      <c r="E24" s="26">
        <f t="shared" si="0"/>
        <v>29508192.729384329</v>
      </c>
      <c r="F24" s="53">
        <f>'[2]TICO 2'!W40</f>
        <v>1776572.41</v>
      </c>
      <c r="G24" s="22">
        <f t="shared" si="2"/>
        <v>0.06</v>
      </c>
      <c r="J24" s="2"/>
    </row>
    <row r="25" spans="1:10" x14ac:dyDescent="0.2">
      <c r="A25" t="str">
        <f t="shared" si="1"/>
        <v>1994</v>
      </c>
      <c r="B25" s="12"/>
      <c r="C25" s="53">
        <f>'[2]TICO 2'!Q41</f>
        <v>9743293.1421373393</v>
      </c>
      <c r="D25" s="28">
        <f>'6.4'!D25</f>
        <v>3.0896705595446288</v>
      </c>
      <c r="E25" s="26">
        <f t="shared" si="0"/>
        <v>30103565.974274818</v>
      </c>
      <c r="F25" s="53">
        <f>'[2]TICO 2'!W41</f>
        <v>1637914.62</v>
      </c>
      <c r="G25" s="22">
        <f t="shared" si="2"/>
        <v>5.3999999999999999E-2</v>
      </c>
      <c r="J25" s="2"/>
    </row>
    <row r="26" spans="1:10" x14ac:dyDescent="0.2">
      <c r="A26" t="str">
        <f t="shared" si="1"/>
        <v>1995</v>
      </c>
      <c r="C26" s="53">
        <f>'[2]TICO 2'!Q42</f>
        <v>10745994.710252121</v>
      </c>
      <c r="D26" s="28">
        <f>'6.4'!D26</f>
        <v>2.7463738307063363</v>
      </c>
      <c r="E26" s="26">
        <f t="shared" si="0"/>
        <v>29512518.657145146</v>
      </c>
      <c r="F26" s="53">
        <f>'[2]TICO 2'!W42</f>
        <v>2416675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'[2]TICO 2'!Q43</f>
        <v>13294968.25041151</v>
      </c>
      <c r="D27" s="28">
        <f>'6.4'!D27</f>
        <v>2.4717364476357027</v>
      </c>
      <c r="E27" s="26">
        <f t="shared" si="0"/>
        <v>32861657.594701599</v>
      </c>
      <c r="F27" s="53">
        <f>'[2]TICO 2'!W43</f>
        <v>1520229</v>
      </c>
      <c r="G27" s="22">
        <f t="shared" si="2"/>
        <v>4.5999999999999999E-2</v>
      </c>
      <c r="J27" s="2"/>
    </row>
    <row r="28" spans="1:10" x14ac:dyDescent="0.2">
      <c r="A28" t="str">
        <f t="shared" si="1"/>
        <v>1997</v>
      </c>
      <c r="C28" s="53">
        <f>'[2]TICO 2'!Q44</f>
        <v>15708220.14390702</v>
      </c>
      <c r="D28" s="28">
        <f>'6.4'!D28</f>
        <v>2.4717364476357027</v>
      </c>
      <c r="E28" s="26">
        <f t="shared" si="0"/>
        <v>38826580.257180326</v>
      </c>
      <c r="F28" s="53">
        <f>'[2]TICO 2'!W44</f>
        <v>2569544</v>
      </c>
      <c r="G28" s="22">
        <f t="shared" si="2"/>
        <v>6.6000000000000003E-2</v>
      </c>
      <c r="J28" s="2"/>
    </row>
    <row r="29" spans="1:10" x14ac:dyDescent="0.2">
      <c r="A29" t="str">
        <f t="shared" si="1"/>
        <v>1998</v>
      </c>
      <c r="C29" s="53">
        <f>'[2]TICO 2'!Q45</f>
        <v>16168136.035215851</v>
      </c>
      <c r="D29" s="28">
        <f>'6.4'!D29</f>
        <v>2.4692671804552475</v>
      </c>
      <c r="E29" s="26">
        <f t="shared" si="0"/>
        <v>39923447.68089433</v>
      </c>
      <c r="F29" s="53">
        <f>'[2]TICO 2'!W45</f>
        <v>10312506</v>
      </c>
      <c r="G29" s="22">
        <f t="shared" si="2"/>
        <v>0.25800000000000001</v>
      </c>
      <c r="J29" s="2"/>
    </row>
    <row r="30" spans="1:10" x14ac:dyDescent="0.2">
      <c r="A30" t="str">
        <f t="shared" si="1"/>
        <v>1999</v>
      </c>
      <c r="C30" s="53">
        <f>'[2]TICO 2'!Q46</f>
        <v>14452666.932484001</v>
      </c>
      <c r="D30" s="28">
        <f>'6.4'!D30</f>
        <v>2.5884604847343118</v>
      </c>
      <c r="E30" s="26">
        <f t="shared" si="0"/>
        <v>37410157.253761098</v>
      </c>
      <c r="F30" s="53">
        <f>'[2]TICO 2'!W46</f>
        <v>3655754</v>
      </c>
      <c r="G30" s="22">
        <f t="shared" si="2"/>
        <v>9.8000000000000004E-2</v>
      </c>
      <c r="J30" s="2"/>
    </row>
    <row r="31" spans="1:10" x14ac:dyDescent="0.2">
      <c r="A31" t="str">
        <f t="shared" si="1"/>
        <v>2000</v>
      </c>
      <c r="C31" s="53">
        <f>'[2]TICO 2'!Q47</f>
        <v>14453384.888686031</v>
      </c>
      <c r="D31" s="28">
        <f>'6.4'!D31</f>
        <v>2.6092385660329733</v>
      </c>
      <c r="E31" s="26">
        <f t="shared" si="0"/>
        <v>37712329.261277787</v>
      </c>
      <c r="F31" s="53">
        <f>'[2]TICO 2'!W47</f>
        <v>3332580</v>
      </c>
      <c r="G31" s="22">
        <f t="shared" si="2"/>
        <v>8.7999999999999995E-2</v>
      </c>
      <c r="J31" s="2"/>
    </row>
    <row r="32" spans="1:10" x14ac:dyDescent="0.2">
      <c r="A32" t="str">
        <f t="shared" si="1"/>
        <v>2001</v>
      </c>
      <c r="C32" s="53">
        <f>'[2]TICO 2'!Q48</f>
        <v>15173521.37271852</v>
      </c>
      <c r="D32" s="28">
        <f>'6.4'!D32</f>
        <v>2.2927423481211551</v>
      </c>
      <c r="E32" s="26">
        <f t="shared" si="0"/>
        <v>34788975.021353193</v>
      </c>
      <c r="F32" s="53">
        <f>'[2]TICO 2'!W48</f>
        <v>2426814</v>
      </c>
      <c r="G32" s="22">
        <f t="shared" si="2"/>
        <v>7.0000000000000007E-2</v>
      </c>
      <c r="J32" s="2"/>
    </row>
    <row r="33" spans="1:10" x14ac:dyDescent="0.2">
      <c r="A33" t="str">
        <f t="shared" si="1"/>
        <v>2002</v>
      </c>
      <c r="C33" s="53">
        <f>'[2]TICO 2'!Q49</f>
        <v>17843905</v>
      </c>
      <c r="D33" s="28">
        <f>'6.4'!D33</f>
        <v>2.1137730087108539</v>
      </c>
      <c r="E33" s="26">
        <f t="shared" si="0"/>
        <v>37717964.759000652</v>
      </c>
      <c r="F33" s="53">
        <f>'[2]TICO 2'!W49</f>
        <v>5925066</v>
      </c>
      <c r="G33" s="22">
        <f t="shared" si="2"/>
        <v>0.157</v>
      </c>
      <c r="J33" s="2"/>
    </row>
    <row r="34" spans="1:10" x14ac:dyDescent="0.2">
      <c r="A34" t="str">
        <f t="shared" si="1"/>
        <v>2003</v>
      </c>
      <c r="C34" s="53">
        <f>'[2]TICO 2'!Q50</f>
        <v>23423208</v>
      </c>
      <c r="D34" s="28">
        <f>'6.4'!D34</f>
        <v>2.1137730087108539</v>
      </c>
      <c r="E34" s="26">
        <f t="shared" si="0"/>
        <v>49511344.84782014</v>
      </c>
      <c r="F34" s="53">
        <f>'[2]TICO 2'!W50</f>
        <v>17213668</v>
      </c>
      <c r="G34" s="22">
        <f t="shared" si="2"/>
        <v>0.34799999999999998</v>
      </c>
      <c r="J34" s="2"/>
    </row>
    <row r="35" spans="1:10" x14ac:dyDescent="0.2">
      <c r="A35" t="str">
        <f t="shared" si="1"/>
        <v>2004</v>
      </c>
      <c r="C35" s="53">
        <f>'[2]TICO 2'!Q51</f>
        <v>27306202</v>
      </c>
      <c r="D35" s="28">
        <f>'6.4'!D35</f>
        <v>2.0155786842906265</v>
      </c>
      <c r="E35" s="26">
        <f t="shared" si="0"/>
        <v>55037798.700134076</v>
      </c>
      <c r="F35" s="53">
        <f>'[2]TICO 2'!W51</f>
        <v>990613</v>
      </c>
      <c r="G35" s="22">
        <f t="shared" si="2"/>
        <v>1.7999999999999999E-2</v>
      </c>
      <c r="J35" s="2"/>
    </row>
    <row r="36" spans="1:10" x14ac:dyDescent="0.2">
      <c r="A36" t="str">
        <f t="shared" si="1"/>
        <v>2005</v>
      </c>
      <c r="C36" s="53">
        <f>'[2]TICO 2'!Q52</f>
        <v>31012304</v>
      </c>
      <c r="D36" s="28">
        <f>'6.4'!D36</f>
        <v>1.9286250079478586</v>
      </c>
      <c r="E36" s="26">
        <f t="shared" si="0"/>
        <v>59811105.048481405</v>
      </c>
      <c r="F36" s="53">
        <f>'[2]TICO 2'!W52</f>
        <v>115989785</v>
      </c>
      <c r="G36" s="22">
        <f t="shared" si="2"/>
        <v>1.9390000000000001</v>
      </c>
      <c r="J36" s="2"/>
    </row>
    <row r="37" spans="1:10" x14ac:dyDescent="0.2">
      <c r="A37" t="str">
        <f t="shared" si="1"/>
        <v>2006</v>
      </c>
      <c r="C37" s="53">
        <f>'[2]TICO 2'!Q53</f>
        <v>36545725</v>
      </c>
      <c r="D37" s="28">
        <f>'6.4'!D37</f>
        <v>1.9239964550740354</v>
      </c>
      <c r="E37" s="26">
        <f t="shared" si="0"/>
        <v>70313845.348110557</v>
      </c>
      <c r="F37" s="53">
        <f>'[2]TICO 2'!W53</f>
        <v>1842548</v>
      </c>
      <c r="G37" s="22">
        <f t="shared" si="2"/>
        <v>2.5999999999999999E-2</v>
      </c>
      <c r="J37" s="2"/>
    </row>
    <row r="38" spans="1:10" x14ac:dyDescent="0.2">
      <c r="A38" t="str">
        <f t="shared" si="1"/>
        <v>2007</v>
      </c>
      <c r="C38" s="53">
        <f>'[2]TICO 2'!Q54</f>
        <v>69945120</v>
      </c>
      <c r="D38" s="28">
        <f>'6.4'!D38</f>
        <v>1.8364634726042235</v>
      </c>
      <c r="E38" s="26">
        <f t="shared" si="0"/>
        <v>128451657.96691912</v>
      </c>
      <c r="F38" s="53">
        <f>'[2]TICO 2'!W54</f>
        <v>10105722</v>
      </c>
      <c r="G38" s="38">
        <f t="shared" si="2"/>
        <v>7.9000000000000001E-2</v>
      </c>
      <c r="J38" s="2"/>
    </row>
    <row r="39" spans="1:10" x14ac:dyDescent="0.2">
      <c r="A39" t="str">
        <f t="shared" si="1"/>
        <v>2008</v>
      </c>
      <c r="C39" s="53">
        <f>'[2]TICO 2'!Q55</f>
        <v>110187567</v>
      </c>
      <c r="D39" s="28">
        <f>'6.4'!D39</f>
        <v>1.7320113079002213</v>
      </c>
      <c r="E39" s="26">
        <f t="shared" si="0"/>
        <v>190846112.03401327</v>
      </c>
      <c r="F39" s="53">
        <f>'[2]TICO 2'!W55</f>
        <v>694640836</v>
      </c>
      <c r="G39" s="38">
        <f t="shared" si="2"/>
        <v>3.64</v>
      </c>
      <c r="J39" s="2"/>
    </row>
    <row r="40" spans="1:10" x14ac:dyDescent="0.2">
      <c r="A40" t="str">
        <f t="shared" si="1"/>
        <v>2009</v>
      </c>
      <c r="C40" s="53">
        <f>'[2]TICO 2'!Q56</f>
        <v>128275387</v>
      </c>
      <c r="D40" s="28">
        <f>'6.4'!D40</f>
        <v>1.5736409509560276</v>
      </c>
      <c r="E40" s="26">
        <f t="shared" si="0"/>
        <v>201859401.98293248</v>
      </c>
      <c r="F40" s="53">
        <f>'[2]TICO 2'!W56</f>
        <v>2522159</v>
      </c>
      <c r="G40" s="38">
        <f t="shared" si="2"/>
        <v>1.2E-2</v>
      </c>
      <c r="J40" s="2"/>
    </row>
    <row r="41" spans="1:10" x14ac:dyDescent="0.2">
      <c r="A41" t="str">
        <f t="shared" si="1"/>
        <v>2010</v>
      </c>
      <c r="C41" s="53">
        <f>'[2]TICO 2'!Q57</f>
        <v>143236007</v>
      </c>
      <c r="D41" s="28">
        <f>'6.4'!D41</f>
        <v>1.4778548957967284</v>
      </c>
      <c r="E41" s="26">
        <f t="shared" si="0"/>
        <v>211682034.19932446</v>
      </c>
      <c r="F41" s="53">
        <f>'[2]TICO 2'!W57</f>
        <v>9656553</v>
      </c>
      <c r="G41" s="38">
        <f t="shared" si="2"/>
        <v>4.5999999999999999E-2</v>
      </c>
      <c r="J41" s="2"/>
    </row>
    <row r="42" spans="1:10" x14ac:dyDescent="0.2">
      <c r="A42" t="str">
        <f t="shared" si="1"/>
        <v>2011</v>
      </c>
      <c r="C42" s="53">
        <f>'[2]TICO 2'!Q58</f>
        <v>151387931</v>
      </c>
      <c r="D42" s="28">
        <f>'6.4'!D42</f>
        <v>1.4413525093000297</v>
      </c>
      <c r="E42" s="26">
        <f t="shared" si="0"/>
        <v>218203374.22458977</v>
      </c>
      <c r="F42" s="53">
        <f>'[2]TICO 2'!W58</f>
        <v>59070022</v>
      </c>
      <c r="G42" s="38">
        <f t="shared" si="2"/>
        <v>0.27100000000000002</v>
      </c>
      <c r="J42" s="2"/>
    </row>
    <row r="43" spans="1:10" x14ac:dyDescent="0.2">
      <c r="A43" t="str">
        <f t="shared" si="1"/>
        <v>2012</v>
      </c>
      <c r="C43" s="53">
        <f>'[2]TICO 2'!Q59</f>
        <v>170159709</v>
      </c>
      <c r="D43" s="28">
        <f>'6.4'!D43</f>
        <v>1.3727418575616306</v>
      </c>
      <c r="E43" s="26">
        <f t="shared" si="0"/>
        <v>233585355.01480651</v>
      </c>
      <c r="F43" s="53">
        <f>'[2]TICO 2'!W59</f>
        <v>21200719</v>
      </c>
      <c r="G43" s="38">
        <f t="shared" ref="G43:G51" si="3">ROUND(F43/E43,3)</f>
        <v>9.0999999999999998E-2</v>
      </c>
      <c r="J43" s="2"/>
    </row>
    <row r="44" spans="1:10" x14ac:dyDescent="0.2">
      <c r="A44" t="str">
        <f t="shared" si="1"/>
        <v>2013</v>
      </c>
      <c r="C44" s="53">
        <f>'[2]TICO 2'!Q60</f>
        <v>183495510</v>
      </c>
      <c r="D44" s="28">
        <f>'6.4'!D44</f>
        <v>1.3075493593415137</v>
      </c>
      <c r="E44" s="26">
        <f t="shared" si="0"/>
        <v>239929436.54254434</v>
      </c>
      <c r="F44" s="53">
        <f>'[2]TICO 2'!W60</f>
        <v>6485250</v>
      </c>
      <c r="G44" s="38">
        <f t="shared" si="3"/>
        <v>2.7E-2</v>
      </c>
      <c r="J44" s="2"/>
    </row>
    <row r="45" spans="1:10" x14ac:dyDescent="0.2">
      <c r="A45" t="str">
        <f t="shared" si="1"/>
        <v>2014</v>
      </c>
      <c r="C45" s="53">
        <f>'[2]TICO 2'!Q61</f>
        <v>197640983</v>
      </c>
      <c r="D45" s="28">
        <f>'6.4'!D45</f>
        <v>1.2455465141622082</v>
      </c>
      <c r="E45" s="26">
        <f t="shared" si="0"/>
        <v>246171037.43124226</v>
      </c>
      <c r="F45" s="53">
        <f>'[2]TICO 2'!W61</f>
        <v>7234983</v>
      </c>
      <c r="G45" s="38">
        <f t="shared" si="3"/>
        <v>2.9000000000000001E-2</v>
      </c>
      <c r="J45" s="2"/>
    </row>
    <row r="46" spans="1:10" x14ac:dyDescent="0.2">
      <c r="A46" t="str">
        <f t="shared" si="1"/>
        <v>2015</v>
      </c>
      <c r="C46" s="53">
        <f>'[2]TICO 2'!Q62</f>
        <v>212320998</v>
      </c>
      <c r="D46" s="28">
        <f>'6.4'!D46</f>
        <v>1.1864644900727379</v>
      </c>
      <c r="E46" s="26">
        <f t="shared" si="0"/>
        <v>251911324.62380481</v>
      </c>
      <c r="F46" s="53">
        <f>'[2]TICO 2'!W62</f>
        <v>90056094</v>
      </c>
      <c r="G46" s="38">
        <f t="shared" si="3"/>
        <v>0.35699999999999998</v>
      </c>
      <c r="J46" s="2"/>
    </row>
    <row r="47" spans="1:10" x14ac:dyDescent="0.2">
      <c r="A47" t="str">
        <f t="shared" si="1"/>
        <v>2016</v>
      </c>
      <c r="C47" s="53">
        <f>'[2]TICO 2'!Q63</f>
        <v>218795204</v>
      </c>
      <c r="D47" s="28">
        <f>'6.4'!D47</f>
        <v>1.1303877408726286</v>
      </c>
      <c r="E47" s="26">
        <f t="shared" si="0"/>
        <v>247323416.36332592</v>
      </c>
      <c r="F47" s="53">
        <f>'[2]TICO 2'!W63</f>
        <v>15021245</v>
      </c>
      <c r="G47" s="38">
        <f t="shared" si="3"/>
        <v>6.0999999999999999E-2</v>
      </c>
      <c r="J47" s="2"/>
    </row>
    <row r="48" spans="1:10" x14ac:dyDescent="0.2">
      <c r="A48" t="str">
        <f t="shared" si="1"/>
        <v>2017</v>
      </c>
      <c r="C48" s="53">
        <f>'[2]TICO 2'!Q64</f>
        <v>212533686</v>
      </c>
      <c r="D48" s="28">
        <f>'6.4'!D48</f>
        <v>1.1025000000000003</v>
      </c>
      <c r="E48" s="26">
        <f t="shared" si="0"/>
        <v>234318388.81500006</v>
      </c>
      <c r="F48" s="53">
        <f>'[2]TICO 2'!W64</f>
        <v>709120869</v>
      </c>
      <c r="G48" s="38">
        <f t="shared" si="3"/>
        <v>3.0259999999999998</v>
      </c>
      <c r="J48" s="2"/>
    </row>
    <row r="49" spans="1:12" x14ac:dyDescent="0.2">
      <c r="A49" t="str">
        <f t="shared" si="1"/>
        <v>2018</v>
      </c>
      <c r="C49" s="53">
        <f>'[2]TICO 2'!Q65</f>
        <v>201509514</v>
      </c>
      <c r="D49" s="28">
        <f>'6.4'!D49</f>
        <v>1.0768211446107889</v>
      </c>
      <c r="E49" s="26">
        <f t="shared" si="0"/>
        <v>216989705.5154438</v>
      </c>
      <c r="F49" s="53">
        <f>'[2]TICO 2'!W65</f>
        <v>9319007</v>
      </c>
      <c r="G49" s="38">
        <f t="shared" si="3"/>
        <v>4.2999999999999997E-2</v>
      </c>
      <c r="J49" s="2"/>
    </row>
    <row r="50" spans="1:12" x14ac:dyDescent="0.2">
      <c r="A50" t="str">
        <f t="shared" si="1"/>
        <v>2019</v>
      </c>
      <c r="C50" s="53">
        <f>'[2]TICO 2'!Q66</f>
        <v>194433202</v>
      </c>
      <c r="D50" s="28">
        <f>'6.4'!D50</f>
        <v>1.0499999999999947</v>
      </c>
      <c r="E50" s="26">
        <f t="shared" si="0"/>
        <v>204154862.09999898</v>
      </c>
      <c r="F50" s="53">
        <f>'[2]TICO 2'!W66</f>
        <v>16886746</v>
      </c>
      <c r="G50" s="38">
        <f t="shared" si="3"/>
        <v>8.3000000000000004E-2</v>
      </c>
      <c r="J50" s="2"/>
    </row>
    <row r="51" spans="1:12" x14ac:dyDescent="0.2">
      <c r="A51" t="str">
        <f t="shared" si="1"/>
        <v>2020</v>
      </c>
      <c r="C51" s="53">
        <f>'[2]TICO 2'!Q67</f>
        <v>186265421</v>
      </c>
      <c r="D51" s="28">
        <f>'6.4'!D51</f>
        <v>1.0500000000000036</v>
      </c>
      <c r="E51" s="26">
        <f t="shared" si="0"/>
        <v>195578692.05000067</v>
      </c>
      <c r="F51" s="53">
        <f>'[2]TICO 2'!W67</f>
        <v>41308139</v>
      </c>
      <c r="G51" s="38">
        <f t="shared" si="3"/>
        <v>0.21099999999999999</v>
      </c>
      <c r="J51" s="2"/>
    </row>
    <row r="52" spans="1:12" x14ac:dyDescent="0.2">
      <c r="A52" t="str">
        <f t="shared" si="1"/>
        <v>2021</v>
      </c>
      <c r="C52" s="53">
        <f>'[2]TICO 2'!Q68</f>
        <v>186593305</v>
      </c>
      <c r="D52" s="28">
        <f>'6.4'!D52</f>
        <v>1.0500000000000056</v>
      </c>
      <c r="E52" s="26">
        <f t="shared" si="0"/>
        <v>195922970.25000104</v>
      </c>
      <c r="F52" s="53">
        <f>'[2]TICO 2'!W68</f>
        <v>62523768</v>
      </c>
      <c r="G52" s="38">
        <f>ROUND(F52/E52,3)</f>
        <v>0.31900000000000001</v>
      </c>
      <c r="J52" s="2"/>
    </row>
    <row r="53" spans="1:12" x14ac:dyDescent="0.2">
      <c r="A53" t="str">
        <f t="shared" si="1"/>
        <v>2022</v>
      </c>
      <c r="C53" s="53">
        <f>'[2]TICO 2'!Q69</f>
        <v>199153387</v>
      </c>
      <c r="D53" s="28">
        <f>'6.4'!D53</f>
        <v>1.0228262738748721</v>
      </c>
      <c r="E53" s="26">
        <f t="shared" si="0"/>
        <v>203699316.7547704</v>
      </c>
      <c r="F53" s="53">
        <f>'[2]TICO 2'!W69</f>
        <v>19980740</v>
      </c>
      <c r="G53" s="38">
        <f>ROUND(F53/E53,3)</f>
        <v>9.8000000000000004E-2</v>
      </c>
      <c r="J53" s="2"/>
    </row>
    <row r="54" spans="1:12" x14ac:dyDescent="0.2">
      <c r="A54" t="str">
        <f t="shared" si="1"/>
        <v>2023</v>
      </c>
      <c r="C54" s="53">
        <f>'[2]TICO 2'!Q70</f>
        <v>243081044</v>
      </c>
      <c r="D54" s="28">
        <f>'6.4'!D54</f>
        <v>1</v>
      </c>
      <c r="E54" s="26">
        <f t="shared" si="0"/>
        <v>243081044</v>
      </c>
      <c r="F54" s="53">
        <f>'[2]TICO 2'!W70</f>
        <v>35652679</v>
      </c>
      <c r="G54" s="38">
        <f>ROUND(F54/E54,3)</f>
        <v>0.14699999999999999</v>
      </c>
      <c r="J54" s="2"/>
    </row>
    <row r="55" spans="1:12" x14ac:dyDescent="0.2">
      <c r="A55" s="146"/>
      <c r="B55" s="146"/>
      <c r="C55" s="146"/>
      <c r="D55" s="146"/>
      <c r="E55" s="146"/>
      <c r="F55" s="146"/>
      <c r="G55" s="146"/>
      <c r="J55" s="2"/>
    </row>
    <row r="56" spans="1:12" x14ac:dyDescent="0.2">
      <c r="A56" t="s">
        <v>9</v>
      </c>
      <c r="C56" s="26">
        <f>SUM(C14:C55)</f>
        <v>3333560681.7369504</v>
      </c>
      <c r="D56" s="26"/>
      <c r="E56" s="26">
        <f>SUM(E14:E55)</f>
        <v>4407735954.9505653</v>
      </c>
      <c r="F56" s="26">
        <f>SUM(F14:F55)</f>
        <v>2042781357.8</v>
      </c>
      <c r="G56" s="22">
        <f>ROUND(F56/E56,3)</f>
        <v>0.46300000000000002</v>
      </c>
      <c r="J56" s="2"/>
      <c r="K56" t="s">
        <v>198</v>
      </c>
      <c r="L56" t="s">
        <v>199</v>
      </c>
    </row>
    <row r="57" spans="1:12" ht="12" thickBot="1" x14ac:dyDescent="0.25">
      <c r="A57" s="6"/>
      <c r="B57" s="6"/>
      <c r="C57" s="6"/>
      <c r="D57" s="6"/>
      <c r="E57" s="6"/>
      <c r="F57" s="6"/>
      <c r="G57" s="6"/>
      <c r="J57" s="2"/>
      <c r="K57" s="37">
        <f>'6.4'!K$56</f>
        <v>45199</v>
      </c>
      <c r="L57" s="37">
        <f>'6.4'!L$56</f>
        <v>45291</v>
      </c>
    </row>
    <row r="58" spans="1:12" ht="12" thickTop="1" x14ac:dyDescent="0.2">
      <c r="J58" s="2"/>
    </row>
    <row r="59" spans="1:12" x14ac:dyDescent="0.2">
      <c r="A59" t="s">
        <v>17</v>
      </c>
      <c r="J59" s="2"/>
    </row>
    <row r="60" spans="1:12" x14ac:dyDescent="0.2">
      <c r="A60" s="12" t="str">
        <f>C12&amp;" Provided by TDI.  Accident years ending "&amp;TEXT($K$57,"m/d/xx")&amp;" as of "&amp;TEXT($L$57,"m/d/yyyy")</f>
        <v>(2) Provided by TDI.  Accident years ending 9/30/xx as of 12/31/2023</v>
      </c>
      <c r="J60" s="2"/>
    </row>
    <row r="61" spans="1:12" x14ac:dyDescent="0.2">
      <c r="A61" s="12" t="str">
        <f>'6.4'!A61</f>
        <v>(3) 1987 and prior judgementally selected; 1988 - 2023 based on TWIA on-level factors</v>
      </c>
      <c r="J61" s="2"/>
    </row>
    <row r="62" spans="1:12" x14ac:dyDescent="0.2">
      <c r="A62" s="12" t="str">
        <f>E12&amp;" = "&amp;C12&amp;" * "&amp;D12</f>
        <v>(4) = (2) * (3)</v>
      </c>
      <c r="J62" s="2"/>
    </row>
    <row r="63" spans="1:12" x14ac:dyDescent="0.2">
      <c r="A63" s="12" t="str">
        <f>'6.5'!A64</f>
        <v>(5) Provided by TDI. Accident years ending 9/30/xx as of 12/31/2023</v>
      </c>
      <c r="J63" s="2"/>
    </row>
    <row r="64" spans="1:12" x14ac:dyDescent="0.2">
      <c r="A64" s="12" t="str">
        <f>G12&amp;" = "&amp;F12&amp;" / "&amp;E12</f>
        <v>(6) = (5) / (4)</v>
      </c>
      <c r="J64" s="2"/>
    </row>
    <row r="65" spans="1:10" ht="12" thickBot="1" x14ac:dyDescent="0.25">
      <c r="B65" s="12"/>
      <c r="D65" s="42"/>
      <c r="E65" s="42"/>
      <c r="F65" s="42"/>
      <c r="G65" s="22"/>
      <c r="J65" s="2"/>
    </row>
    <row r="66" spans="1:10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>
    <tabColor rgb="FF00FF00"/>
  </sheetPr>
  <dimension ref="A1:O66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5" customWidth="1"/>
    <col min="12" max="12" width="13.1640625" customWidth="1"/>
  </cols>
  <sheetData>
    <row r="1" spans="1:15" x14ac:dyDescent="0.2">
      <c r="A1" s="8" t="str">
        <f>'1'!$A$1</f>
        <v>Texas Windstorm Insurance Association</v>
      </c>
      <c r="B1" s="12"/>
      <c r="I1" s="7" t="s">
        <v>92</v>
      </c>
      <c r="J1" s="1"/>
      <c r="N1" t="s">
        <v>369</v>
      </c>
      <c r="O1" t="s">
        <v>385</v>
      </c>
    </row>
    <row r="2" spans="1:15" x14ac:dyDescent="0.2">
      <c r="A2" s="8" t="str">
        <f>'1'!$A$2</f>
        <v>Residential Property - Wind &amp; Hail</v>
      </c>
      <c r="B2" s="12"/>
      <c r="I2" s="7" t="s">
        <v>125</v>
      </c>
      <c r="J2" s="2"/>
      <c r="N2" t="s">
        <v>369</v>
      </c>
      <c r="O2" t="s">
        <v>390</v>
      </c>
    </row>
    <row r="3" spans="1:15" x14ac:dyDescent="0.2">
      <c r="A3" s="8" t="str">
        <f>'1'!$A$3</f>
        <v>Rate Level Review</v>
      </c>
      <c r="B3" s="12"/>
      <c r="J3" s="2"/>
      <c r="N3" t="s">
        <v>369</v>
      </c>
      <c r="O3" t="s">
        <v>391</v>
      </c>
    </row>
    <row r="4" spans="1:15" x14ac:dyDescent="0.2">
      <c r="A4" t="s">
        <v>93</v>
      </c>
      <c r="B4" s="12"/>
      <c r="J4" s="2"/>
    </row>
    <row r="5" spans="1:15" x14ac:dyDescent="0.2">
      <c r="A5" t="s">
        <v>49</v>
      </c>
      <c r="B5" s="12"/>
      <c r="J5" s="2"/>
    </row>
    <row r="6" spans="1:15" x14ac:dyDescent="0.2">
      <c r="J6" s="2"/>
    </row>
    <row r="7" spans="1:15" ht="12" thickBot="1" x14ac:dyDescent="0.25">
      <c r="A7" s="6"/>
      <c r="B7" s="6"/>
      <c r="C7" s="6"/>
      <c r="D7" s="6"/>
      <c r="E7" s="6"/>
      <c r="F7" s="6"/>
      <c r="G7" s="6"/>
      <c r="J7" s="2"/>
    </row>
    <row r="8" spans="1:15" ht="12" thickTop="1" x14ac:dyDescent="0.2">
      <c r="A8" t="s">
        <v>52</v>
      </c>
      <c r="J8" s="2"/>
    </row>
    <row r="9" spans="1:15" x14ac:dyDescent="0.2">
      <c r="A9" t="s">
        <v>53</v>
      </c>
      <c r="C9" s="194"/>
      <c r="D9" s="11" t="s">
        <v>36</v>
      </c>
      <c r="E9" s="11" t="s">
        <v>43</v>
      </c>
      <c r="F9" s="11"/>
      <c r="G9" s="11"/>
      <c r="J9" s="2"/>
      <c r="K9" s="17"/>
    </row>
    <row r="10" spans="1:15" x14ac:dyDescent="0.2">
      <c r="A10" t="s">
        <v>33</v>
      </c>
      <c r="C10" s="11" t="s">
        <v>112</v>
      </c>
      <c r="D10" s="11" t="s">
        <v>122</v>
      </c>
      <c r="E10" s="11" t="s">
        <v>41</v>
      </c>
      <c r="F10" s="11" t="s">
        <v>82</v>
      </c>
      <c r="G10" s="11" t="s">
        <v>82</v>
      </c>
      <c r="J10" s="2"/>
      <c r="K10" s="12"/>
    </row>
    <row r="11" spans="1:15" x14ac:dyDescent="0.2">
      <c r="A11" s="9" t="str">
        <f>TEXT(K57,"m/d")</f>
        <v>9/30</v>
      </c>
      <c r="B11" s="9"/>
      <c r="C11" s="125" t="s">
        <v>113</v>
      </c>
      <c r="D11" s="125" t="s">
        <v>123</v>
      </c>
      <c r="E11" s="125" t="s">
        <v>42</v>
      </c>
      <c r="F11" s="125" t="s">
        <v>40</v>
      </c>
      <c r="G11" s="125" t="s">
        <v>74</v>
      </c>
      <c r="J11" s="2"/>
      <c r="K11" s="37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5" x14ac:dyDescent="0.2">
      <c r="J13" s="2"/>
    </row>
    <row r="14" spans="1:15" x14ac:dyDescent="0.2">
      <c r="A14" s="94">
        <v>1983</v>
      </c>
      <c r="C14" s="31">
        <v>16247909</v>
      </c>
      <c r="D14" s="28">
        <f>'6.4'!D14</f>
        <v>2.252543431048422</v>
      </c>
      <c r="E14" s="26">
        <f t="shared" ref="E14:E45" si="0">C14*D14</f>
        <v>36599120.686222538</v>
      </c>
      <c r="F14" s="31">
        <v>61752490</v>
      </c>
      <c r="G14" s="22">
        <f>F14/E14</f>
        <v>1.6872670392664995</v>
      </c>
      <c r="J14" s="2"/>
      <c r="K14" s="7"/>
      <c r="M14" s="19"/>
    </row>
    <row r="15" spans="1:15" x14ac:dyDescent="0.2">
      <c r="A15" t="str">
        <f>TEXT(A14+1,"#")</f>
        <v>1984</v>
      </c>
      <c r="C15" s="31">
        <v>11008847</v>
      </c>
      <c r="D15" s="28">
        <f>'6.4'!D15</f>
        <v>2.252543431048422</v>
      </c>
      <c r="E15" s="26">
        <f t="shared" si="0"/>
        <v>24797905.993267126</v>
      </c>
      <c r="F15" s="31">
        <v>9535536</v>
      </c>
      <c r="G15" s="22">
        <f>F15/E15</f>
        <v>0.3845298874263412</v>
      </c>
      <c r="J15" s="2"/>
      <c r="K15" s="7"/>
      <c r="M15" s="19"/>
    </row>
    <row r="16" spans="1:15" x14ac:dyDescent="0.2">
      <c r="A16" t="str">
        <f t="shared" ref="A16:A54" si="1">TEXT(A15+1,"#")</f>
        <v>1985</v>
      </c>
      <c r="C16" s="31">
        <v>15662193</v>
      </c>
      <c r="D16" s="28">
        <f>'6.4'!D16</f>
        <v>2.252543431048422</v>
      </c>
      <c r="E16" s="26">
        <f t="shared" si="0"/>
        <v>35279769.95796258</v>
      </c>
      <c r="F16" s="31">
        <v>4532749</v>
      </c>
      <c r="G16" s="22">
        <f>F16/E16</f>
        <v>0.12848011779558008</v>
      </c>
      <c r="J16" s="2"/>
      <c r="K16" s="7"/>
      <c r="M16" s="19"/>
    </row>
    <row r="17" spans="1:13" x14ac:dyDescent="0.2">
      <c r="A17" t="str">
        <f t="shared" si="1"/>
        <v>1986</v>
      </c>
      <c r="C17" s="31">
        <v>19854927</v>
      </c>
      <c r="D17" s="28">
        <f>'6.4'!D17</f>
        <v>2.252543431048422</v>
      </c>
      <c r="E17" s="26">
        <f t="shared" si="0"/>
        <v>44724085.387795955</v>
      </c>
      <c r="F17" s="31">
        <v>6306903</v>
      </c>
      <c r="G17" s="22">
        <f t="shared" ref="G17:G45" si="2">ROUND(F17/E17,3)</f>
        <v>0.14099999999999999</v>
      </c>
      <c r="J17" s="2"/>
      <c r="K17" s="7"/>
      <c r="M17" s="19"/>
    </row>
    <row r="18" spans="1:13" x14ac:dyDescent="0.2">
      <c r="A18" t="str">
        <f t="shared" si="1"/>
        <v>1987</v>
      </c>
      <c r="C18" s="31">
        <v>22542928</v>
      </c>
      <c r="D18" s="28">
        <f>'6.4'!D18</f>
        <v>2.252543431048422</v>
      </c>
      <c r="E18" s="26">
        <f t="shared" si="0"/>
        <v>50778924.382997543</v>
      </c>
      <c r="F18" s="31">
        <v>3739010</v>
      </c>
      <c r="G18" s="22">
        <f t="shared" si="2"/>
        <v>7.3999999999999996E-2</v>
      </c>
      <c r="J18" s="2"/>
      <c r="K18" s="7"/>
      <c r="M18" s="19"/>
    </row>
    <row r="19" spans="1:13" x14ac:dyDescent="0.2">
      <c r="A19" t="str">
        <f t="shared" si="1"/>
        <v>1988</v>
      </c>
      <c r="C19" s="108">
        <v>24744994</v>
      </c>
      <c r="D19" s="28">
        <f>'6.4'!D19</f>
        <v>2.3150497749726844</v>
      </c>
      <c r="E19" s="26">
        <f>C19*D19</f>
        <v>57285892.791400425</v>
      </c>
      <c r="F19" s="108">
        <v>4139098</v>
      </c>
      <c r="G19" s="22">
        <f t="shared" si="2"/>
        <v>7.1999999999999995E-2</v>
      </c>
      <c r="J19" s="2"/>
      <c r="K19" s="7"/>
      <c r="M19" s="19"/>
    </row>
    <row r="20" spans="1:13" x14ac:dyDescent="0.2">
      <c r="A20" t="str">
        <f t="shared" si="1"/>
        <v>1989</v>
      </c>
      <c r="C20" s="108">
        <v>22159987</v>
      </c>
      <c r="D20" s="28">
        <f>'6.4'!D20</f>
        <v>2.3811241343006575</v>
      </c>
      <c r="E20" s="26">
        <f t="shared" si="0"/>
        <v>52765679.861488827</v>
      </c>
      <c r="F20" s="108">
        <v>8884751</v>
      </c>
      <c r="G20" s="22">
        <f t="shared" si="2"/>
        <v>0.16800000000000001</v>
      </c>
      <c r="J20" s="2"/>
      <c r="K20" s="7"/>
      <c r="M20" s="19"/>
    </row>
    <row r="21" spans="1:13" x14ac:dyDescent="0.2">
      <c r="A21" t="str">
        <f t="shared" si="1"/>
        <v>1990</v>
      </c>
      <c r="C21" s="108">
        <v>21480544</v>
      </c>
      <c r="D21" s="28">
        <f>'6.4'!D21</f>
        <v>2.3447800436244783</v>
      </c>
      <c r="E21" s="26">
        <f t="shared" si="0"/>
        <v>50367150.897397526</v>
      </c>
      <c r="F21" s="108">
        <v>11997188</v>
      </c>
      <c r="G21" s="22">
        <f t="shared" si="2"/>
        <v>0.23799999999999999</v>
      </c>
      <c r="J21" s="2"/>
      <c r="K21" s="7"/>
      <c r="M21" s="19"/>
    </row>
    <row r="22" spans="1:13" x14ac:dyDescent="0.2">
      <c r="A22" t="str">
        <f t="shared" si="1"/>
        <v>1991</v>
      </c>
      <c r="B22" s="12"/>
      <c r="C22" s="53">
        <f>'[2]TICO 2'!R38</f>
        <v>25239134</v>
      </c>
      <c r="D22" s="28">
        <f>'6.4'!D22</f>
        <v>2.0529144384529867</v>
      </c>
      <c r="E22" s="26">
        <f>C22*D22</f>
        <v>51813782.602649681</v>
      </c>
      <c r="F22" s="53">
        <f>'[2]TICO 2'!X38</f>
        <v>10178608</v>
      </c>
      <c r="G22" s="22">
        <f t="shared" si="2"/>
        <v>0.19600000000000001</v>
      </c>
      <c r="J22" s="2"/>
      <c r="K22" s="7"/>
      <c r="M22" s="19"/>
    </row>
    <row r="23" spans="1:13" x14ac:dyDescent="0.2">
      <c r="A23" t="str">
        <f t="shared" si="1"/>
        <v>1992</v>
      </c>
      <c r="B23" s="12"/>
      <c r="C23" s="53">
        <f>'[2]TICO 2'!R39</f>
        <v>26718987</v>
      </c>
      <c r="D23" s="28">
        <f>'6.4'!D23</f>
        <v>2.5309904035721749</v>
      </c>
      <c r="E23" s="26">
        <f t="shared" si="0"/>
        <v>67625499.690169692</v>
      </c>
      <c r="F23" s="53">
        <f>'[2]TICO 2'!X39</f>
        <v>12221034</v>
      </c>
      <c r="G23" s="22">
        <f t="shared" si="2"/>
        <v>0.18099999999999999</v>
      </c>
      <c r="J23" s="2"/>
      <c r="K23" s="7"/>
      <c r="M23" s="19"/>
    </row>
    <row r="24" spans="1:13" x14ac:dyDescent="0.2">
      <c r="A24" t="str">
        <f t="shared" si="1"/>
        <v>1993</v>
      </c>
      <c r="B24" s="12"/>
      <c r="C24" s="53">
        <f>'[2]TICO 2'!R40</f>
        <v>31914206</v>
      </c>
      <c r="D24" s="28">
        <f>'6.4'!D24</f>
        <v>3.4926710673113193</v>
      </c>
      <c r="E24" s="26">
        <f t="shared" si="0"/>
        <v>111465823.93241331</v>
      </c>
      <c r="F24" s="53">
        <f>'[2]TICO 2'!X40</f>
        <v>17910197</v>
      </c>
      <c r="G24" s="22">
        <f t="shared" si="2"/>
        <v>0.161</v>
      </c>
      <c r="J24" s="2"/>
      <c r="K24" s="7"/>
      <c r="M24" s="19"/>
    </row>
    <row r="25" spans="1:13" x14ac:dyDescent="0.2">
      <c r="A25" t="str">
        <f t="shared" si="1"/>
        <v>1994</v>
      </c>
      <c r="C25" s="53">
        <f>'[2]TICO 2'!R41</f>
        <v>35133612</v>
      </c>
      <c r="D25" s="28">
        <f>'6.4'!D25</f>
        <v>3.0896705595446288</v>
      </c>
      <c r="E25" s="26">
        <f t="shared" si="0"/>
        <v>108551286.64686388</v>
      </c>
      <c r="F25" s="53">
        <f>'[2]TICO 2'!X41</f>
        <v>6968697</v>
      </c>
      <c r="G25" s="22">
        <f t="shared" si="2"/>
        <v>6.4000000000000001E-2</v>
      </c>
      <c r="J25" s="2"/>
    </row>
    <row r="26" spans="1:13" x14ac:dyDescent="0.2">
      <c r="A26" t="str">
        <f t="shared" si="1"/>
        <v>1995</v>
      </c>
      <c r="C26" s="53">
        <f>'[2]TICO 2'!R42</f>
        <v>34347927</v>
      </c>
      <c r="D26" s="28">
        <f>'6.4'!D26</f>
        <v>2.7463738307063363</v>
      </c>
      <c r="E26" s="26">
        <f t="shared" si="0"/>
        <v>94332247.851811603</v>
      </c>
      <c r="F26" s="53">
        <f>'[2]TICO 2'!X42</f>
        <v>20240594</v>
      </c>
      <c r="G26" s="22">
        <f t="shared" si="2"/>
        <v>0.215</v>
      </c>
      <c r="J26" s="2"/>
    </row>
    <row r="27" spans="1:13" x14ac:dyDescent="0.2">
      <c r="A27" t="str">
        <f t="shared" si="1"/>
        <v>1996</v>
      </c>
      <c r="C27" s="53">
        <f>'[2]TICO 2'!R43</f>
        <v>38349763.638891585</v>
      </c>
      <c r="D27" s="28">
        <f>'6.4'!D27</f>
        <v>2.4717364476357027</v>
      </c>
      <c r="E27" s="26">
        <f t="shared" si="0"/>
        <v>94790508.544462726</v>
      </c>
      <c r="F27" s="53">
        <f>'[2]TICO 2'!X43</f>
        <v>9046495</v>
      </c>
      <c r="G27" s="22">
        <f t="shared" si="2"/>
        <v>9.5000000000000001E-2</v>
      </c>
      <c r="J27" s="2"/>
    </row>
    <row r="28" spans="1:13" x14ac:dyDescent="0.2">
      <c r="A28" t="str">
        <f t="shared" si="1"/>
        <v>1997</v>
      </c>
      <c r="C28" s="53">
        <f>'[2]TICO 2'!R44</f>
        <v>42447730.530345351</v>
      </c>
      <c r="D28" s="28">
        <f>'6.4'!D28</f>
        <v>2.4717364476357027</v>
      </c>
      <c r="E28" s="26">
        <f t="shared" si="0"/>
        <v>104919602.67127338</v>
      </c>
      <c r="F28" s="53">
        <f>'[2]TICO 2'!X44</f>
        <v>8514675</v>
      </c>
      <c r="G28" s="22">
        <f t="shared" si="2"/>
        <v>8.1000000000000003E-2</v>
      </c>
      <c r="J28" s="2"/>
    </row>
    <row r="29" spans="1:13" x14ac:dyDescent="0.2">
      <c r="A29" t="str">
        <f t="shared" si="1"/>
        <v>1998</v>
      </c>
      <c r="C29" s="53">
        <f>'[2]TICO 2'!R45</f>
        <v>41427572.085624263</v>
      </c>
      <c r="D29" s="28">
        <f>'6.4'!D29</f>
        <v>2.4692671804552475</v>
      </c>
      <c r="E29" s="26">
        <f t="shared" si="0"/>
        <v>102295744.11697595</v>
      </c>
      <c r="F29" s="53">
        <f>'[2]TICO 2'!X45</f>
        <v>10127907</v>
      </c>
      <c r="G29" s="22">
        <f t="shared" si="2"/>
        <v>9.9000000000000005E-2</v>
      </c>
      <c r="J29" s="2"/>
    </row>
    <row r="30" spans="1:13" x14ac:dyDescent="0.2">
      <c r="A30" t="str">
        <f t="shared" si="1"/>
        <v>1999</v>
      </c>
      <c r="C30" s="53">
        <f>'[2]TICO 2'!R46</f>
        <v>34004814.583080605</v>
      </c>
      <c r="D30" s="28">
        <f>'6.4'!D30</f>
        <v>2.5884604847343118</v>
      </c>
      <c r="E30" s="26">
        <f t="shared" si="0"/>
        <v>88020118.839021221</v>
      </c>
      <c r="F30" s="53">
        <f>'[2]TICO 2'!X46</f>
        <v>8680187</v>
      </c>
      <c r="G30" s="22">
        <f t="shared" si="2"/>
        <v>9.9000000000000005E-2</v>
      </c>
      <c r="J30" s="2"/>
    </row>
    <row r="31" spans="1:13" x14ac:dyDescent="0.2">
      <c r="A31" t="str">
        <f t="shared" si="1"/>
        <v>2000</v>
      </c>
      <c r="C31" s="53">
        <f>'[2]TICO 2'!R47</f>
        <v>36439477.252283618</v>
      </c>
      <c r="D31" s="28">
        <f>'6.4'!D31</f>
        <v>2.6092385660329733</v>
      </c>
      <c r="E31" s="26">
        <f t="shared" si="0"/>
        <v>95079289.372739658</v>
      </c>
      <c r="F31" s="53">
        <f>'[2]TICO 2'!X47</f>
        <v>9518422</v>
      </c>
      <c r="G31" s="22">
        <f t="shared" si="2"/>
        <v>0.1</v>
      </c>
      <c r="J31" s="2"/>
    </row>
    <row r="32" spans="1:13" x14ac:dyDescent="0.2">
      <c r="A32" t="str">
        <f t="shared" si="1"/>
        <v>2001</v>
      </c>
      <c r="C32" s="53">
        <f>'[2]TICO 2'!R48</f>
        <v>32881662.327381283</v>
      </c>
      <c r="D32" s="28">
        <f>'6.4'!D32</f>
        <v>2.2927423481211551</v>
      </c>
      <c r="E32" s="26">
        <f t="shared" si="0"/>
        <v>75389179.694607094</v>
      </c>
      <c r="F32" s="53">
        <f>'[2]TICO 2'!X48</f>
        <v>23547404</v>
      </c>
      <c r="G32" s="22">
        <f t="shared" si="2"/>
        <v>0.312</v>
      </c>
      <c r="J32" s="2"/>
    </row>
    <row r="33" spans="1:10" x14ac:dyDescent="0.2">
      <c r="A33" t="str">
        <f t="shared" si="1"/>
        <v>2002</v>
      </c>
      <c r="C33" s="53">
        <f>'[2]TICO 2'!R49</f>
        <v>37396181</v>
      </c>
      <c r="D33" s="28">
        <f>'6.4'!D33</f>
        <v>2.1137730087108539</v>
      </c>
      <c r="E33" s="26">
        <f t="shared" si="0"/>
        <v>79047038.026665673</v>
      </c>
      <c r="F33" s="53">
        <f>'[2]TICO 2'!X49</f>
        <v>7950367</v>
      </c>
      <c r="G33" s="22">
        <f t="shared" si="2"/>
        <v>0.10100000000000001</v>
      </c>
      <c r="J33" s="2"/>
    </row>
    <row r="34" spans="1:10" x14ac:dyDescent="0.2">
      <c r="A34" t="str">
        <f t="shared" si="1"/>
        <v>2003</v>
      </c>
      <c r="C34" s="53">
        <f>'[2]TICO 2'!R50</f>
        <v>49027236</v>
      </c>
      <c r="D34" s="28">
        <f>'6.4'!D34</f>
        <v>2.1137730087108539</v>
      </c>
      <c r="E34" s="26">
        <f t="shared" si="0"/>
        <v>103632448.14849709</v>
      </c>
      <c r="F34" s="53">
        <f>'[2]TICO 2'!X50</f>
        <v>10177909</v>
      </c>
      <c r="G34" s="22">
        <f t="shared" si="2"/>
        <v>9.8000000000000004E-2</v>
      </c>
      <c r="J34" s="2"/>
    </row>
    <row r="35" spans="1:10" x14ac:dyDescent="0.2">
      <c r="A35" t="str">
        <f t="shared" si="1"/>
        <v>2004</v>
      </c>
      <c r="C35" s="53">
        <f>'[2]TICO 2'!R51</f>
        <v>49927649</v>
      </c>
      <c r="D35" s="28">
        <f>'6.4'!D35</f>
        <v>2.0155786842906265</v>
      </c>
      <c r="E35" s="26">
        <f t="shared" si="0"/>
        <v>100633105.08114421</v>
      </c>
      <c r="F35" s="53">
        <f>'[2]TICO 2'!X51</f>
        <v>3738542</v>
      </c>
      <c r="G35" s="22">
        <f t="shared" si="2"/>
        <v>3.6999999999999998E-2</v>
      </c>
      <c r="J35" s="2"/>
    </row>
    <row r="36" spans="1:10" x14ac:dyDescent="0.2">
      <c r="A36" t="str">
        <f t="shared" si="1"/>
        <v>2005</v>
      </c>
      <c r="C36" s="53">
        <f>'[2]TICO 2'!R52</f>
        <v>50116517</v>
      </c>
      <c r="D36" s="28">
        <f>'6.4'!D36</f>
        <v>1.9286250079478586</v>
      </c>
      <c r="E36" s="26">
        <f>C36*D36</f>
        <v>96655967.997443989</v>
      </c>
      <c r="F36" s="53">
        <f>'[2]TICO 2'!X52</f>
        <v>34201898</v>
      </c>
      <c r="G36" s="22">
        <f t="shared" si="2"/>
        <v>0.35399999999999998</v>
      </c>
      <c r="J36" s="2"/>
    </row>
    <row r="37" spans="1:10" x14ac:dyDescent="0.2">
      <c r="A37" t="str">
        <f t="shared" si="1"/>
        <v>2006</v>
      </c>
      <c r="C37" s="53">
        <f>'[2]TICO 2'!R53</f>
        <v>54703319</v>
      </c>
      <c r="D37" s="28">
        <f>'6.4'!D37</f>
        <v>1.9239964550740354</v>
      </c>
      <c r="E37" s="26">
        <f>C37*D37</f>
        <v>105248991.83678412</v>
      </c>
      <c r="F37" s="53">
        <f>'[2]TICO 2'!X53</f>
        <v>4909932</v>
      </c>
      <c r="G37" s="38">
        <f t="shared" si="2"/>
        <v>4.7E-2</v>
      </c>
      <c r="J37" s="2"/>
    </row>
    <row r="38" spans="1:10" x14ac:dyDescent="0.2">
      <c r="A38" t="str">
        <f t="shared" si="1"/>
        <v>2007</v>
      </c>
      <c r="C38" s="53">
        <f>'[2]TICO 2'!R54</f>
        <v>60982886</v>
      </c>
      <c r="D38" s="28">
        <f>'6.4'!D38</f>
        <v>1.8364634726042235</v>
      </c>
      <c r="E38" s="26">
        <f t="shared" si="0"/>
        <v>111992842.59298748</v>
      </c>
      <c r="F38" s="53">
        <f>'[2]TICO 2'!X54</f>
        <v>5242698</v>
      </c>
      <c r="G38" s="38">
        <f t="shared" si="2"/>
        <v>4.7E-2</v>
      </c>
      <c r="J38" s="2"/>
    </row>
    <row r="39" spans="1:10" x14ac:dyDescent="0.2">
      <c r="A39" t="str">
        <f t="shared" si="1"/>
        <v>2008</v>
      </c>
      <c r="C39" s="53">
        <f>'[2]TICO 2'!R55</f>
        <v>65015817</v>
      </c>
      <c r="D39" s="28">
        <f>'6.4'!D39</f>
        <v>1.7320113079002213</v>
      </c>
      <c r="E39" s="26">
        <f t="shared" si="0"/>
        <v>112608130.23637144</v>
      </c>
      <c r="F39" s="53">
        <f>'[2]TICO 2'!X55</f>
        <v>448708417</v>
      </c>
      <c r="G39" s="38">
        <f t="shared" si="2"/>
        <v>3.9849999999999999</v>
      </c>
      <c r="J39" s="2"/>
    </row>
    <row r="40" spans="1:10" x14ac:dyDescent="0.2">
      <c r="A40" t="str">
        <f t="shared" si="1"/>
        <v>2009</v>
      </c>
      <c r="C40" s="53">
        <f>'[2]TICO 2'!R56</f>
        <v>70667217</v>
      </c>
      <c r="D40" s="28">
        <f>'6.4'!D40</f>
        <v>1.5736409509560276</v>
      </c>
      <c r="E40" s="26">
        <f t="shared" si="0"/>
        <v>111204826.56129596</v>
      </c>
      <c r="F40" s="53">
        <f>'[2]TICO 2'!X56</f>
        <v>9952501</v>
      </c>
      <c r="G40" s="38">
        <f t="shared" si="2"/>
        <v>8.8999999999999996E-2</v>
      </c>
      <c r="J40" s="2"/>
    </row>
    <row r="41" spans="1:10" x14ac:dyDescent="0.2">
      <c r="A41" t="str">
        <f t="shared" si="1"/>
        <v>2010</v>
      </c>
      <c r="C41" s="53">
        <f>'[2]TICO 2'!R57</f>
        <v>70788779</v>
      </c>
      <c r="D41" s="28">
        <f>'6.4'!D41</f>
        <v>1.4778548957967284</v>
      </c>
      <c r="E41" s="26">
        <f t="shared" si="0"/>
        <v>104615543.61262263</v>
      </c>
      <c r="F41" s="53">
        <f>'[2]TICO 2'!X57</f>
        <v>10829031</v>
      </c>
      <c r="G41" s="38">
        <f t="shared" si="2"/>
        <v>0.104</v>
      </c>
      <c r="J41" s="2"/>
    </row>
    <row r="42" spans="1:10" x14ac:dyDescent="0.2">
      <c r="A42" t="str">
        <f t="shared" si="1"/>
        <v>2011</v>
      </c>
      <c r="B42" s="23"/>
      <c r="C42" s="53">
        <f>'[2]TICO 2'!R58</f>
        <v>73325323</v>
      </c>
      <c r="D42" s="28">
        <f>'6.4'!D42</f>
        <v>1.4413525093000297</v>
      </c>
      <c r="E42" s="26">
        <f t="shared" si="0"/>
        <v>105687638.30128518</v>
      </c>
      <c r="F42" s="53">
        <f>'[2]TICO 2'!X58</f>
        <v>5993038</v>
      </c>
      <c r="G42" s="38">
        <f t="shared" si="2"/>
        <v>5.7000000000000002E-2</v>
      </c>
      <c r="J42" s="2"/>
    </row>
    <row r="43" spans="1:10" x14ac:dyDescent="0.2">
      <c r="A43" t="str">
        <f t="shared" si="1"/>
        <v>2012</v>
      </c>
      <c r="C43" s="53">
        <f>'[2]TICO 2'!R59</f>
        <v>80858142</v>
      </c>
      <c r="D43" s="28">
        <f>'6.4'!D43</f>
        <v>1.3727418575616306</v>
      </c>
      <c r="E43" s="26">
        <f t="shared" si="0"/>
        <v>110997356.0480621</v>
      </c>
      <c r="F43" s="53">
        <f>'[2]TICO 2'!X59</f>
        <v>89893832</v>
      </c>
      <c r="G43" s="38">
        <f t="shared" si="2"/>
        <v>0.81</v>
      </c>
      <c r="J43" s="2"/>
    </row>
    <row r="44" spans="1:10" x14ac:dyDescent="0.2">
      <c r="A44" t="str">
        <f t="shared" si="1"/>
        <v>2013</v>
      </c>
      <c r="B44" s="23"/>
      <c r="C44" s="53">
        <f>'[2]TICO 2'!R60</f>
        <v>90250703</v>
      </c>
      <c r="D44" s="28">
        <f>'6.4'!D44</f>
        <v>1.3075493593415137</v>
      </c>
      <c r="E44" s="26">
        <f t="shared" si="0"/>
        <v>118007248.88777123</v>
      </c>
      <c r="F44" s="53">
        <f>'[2]TICO 2'!X60</f>
        <v>22061511</v>
      </c>
      <c r="G44" s="38">
        <f t="shared" si="2"/>
        <v>0.187</v>
      </c>
      <c r="J44" s="2"/>
    </row>
    <row r="45" spans="1:10" x14ac:dyDescent="0.2">
      <c r="A45" t="str">
        <f t="shared" si="1"/>
        <v>2014</v>
      </c>
      <c r="B45" s="23"/>
      <c r="C45" s="53">
        <f>'[2]TICO 2'!R61</f>
        <v>99916064</v>
      </c>
      <c r="D45" s="28">
        <f>'6.4'!D45</f>
        <v>1.2455465141622082</v>
      </c>
      <c r="E45" s="26">
        <f t="shared" si="0"/>
        <v>124450105.2240081</v>
      </c>
      <c r="F45" s="53">
        <f>'[2]TICO 2'!X61</f>
        <v>20930082</v>
      </c>
      <c r="G45" s="38">
        <f t="shared" si="2"/>
        <v>0.16800000000000001</v>
      </c>
      <c r="J45" s="2"/>
    </row>
    <row r="46" spans="1:10" x14ac:dyDescent="0.2">
      <c r="A46" t="str">
        <f t="shared" si="1"/>
        <v>2015</v>
      </c>
      <c r="B46" s="23"/>
      <c r="C46" s="53">
        <f>'[2]TICO 2'!R62</f>
        <v>110352614</v>
      </c>
      <c r="D46" s="28">
        <f>'6.4'!D46</f>
        <v>1.1864644900727379</v>
      </c>
      <c r="E46" s="26">
        <f t="shared" ref="E46:E51" si="3">C46*D46</f>
        <v>130929457.89770368</v>
      </c>
      <c r="F46" s="53">
        <f>'[2]TICO 2'!X62</f>
        <v>43780541</v>
      </c>
      <c r="G46" s="38">
        <f t="shared" ref="G46:G50" si="4">ROUND(F46/E46,3)</f>
        <v>0.33400000000000002</v>
      </c>
      <c r="J46" s="2"/>
    </row>
    <row r="47" spans="1:10" x14ac:dyDescent="0.2">
      <c r="A47" t="str">
        <f t="shared" si="1"/>
        <v>2016</v>
      </c>
      <c r="B47" s="23"/>
      <c r="C47" s="53">
        <f>'[2]TICO 2'!R63</f>
        <v>119744188</v>
      </c>
      <c r="D47" s="28">
        <f>'6.4'!D47</f>
        <v>1.1303877408726286</v>
      </c>
      <c r="E47" s="26">
        <f t="shared" si="3"/>
        <v>135357362.15594733</v>
      </c>
      <c r="F47" s="53">
        <f>'[2]TICO 2'!X63</f>
        <v>46503584</v>
      </c>
      <c r="G47" s="38">
        <f t="shared" si="4"/>
        <v>0.34399999999999997</v>
      </c>
      <c r="J47" s="2"/>
    </row>
    <row r="48" spans="1:10" x14ac:dyDescent="0.2">
      <c r="A48" t="str">
        <f t="shared" si="1"/>
        <v>2017</v>
      </c>
      <c r="B48" s="23"/>
      <c r="C48" s="53">
        <f>'[2]TICO 2'!R64</f>
        <v>117739636</v>
      </c>
      <c r="D48" s="28">
        <f>'6.4'!D48</f>
        <v>1.1025000000000003</v>
      </c>
      <c r="E48" s="26">
        <f t="shared" si="3"/>
        <v>129807948.69000003</v>
      </c>
      <c r="F48" s="53">
        <f>'[2]TICO 2'!X64</f>
        <v>75399831</v>
      </c>
      <c r="G48" s="38">
        <f t="shared" si="4"/>
        <v>0.58099999999999996</v>
      </c>
      <c r="J48" s="2"/>
    </row>
    <row r="49" spans="1:12" x14ac:dyDescent="0.2">
      <c r="A49" t="str">
        <f t="shared" si="1"/>
        <v>2018</v>
      </c>
      <c r="B49" s="23"/>
      <c r="C49" s="53">
        <f>'[2]TICO 2'!R65</f>
        <v>115484141</v>
      </c>
      <c r="D49" s="28">
        <f>'6.4'!D49</f>
        <v>1.0768211446107889</v>
      </c>
      <c r="E49" s="26">
        <f t="shared" si="3"/>
        <v>124355764.89601374</v>
      </c>
      <c r="F49" s="53">
        <f>'[2]TICO 2'!X65</f>
        <v>12323854</v>
      </c>
      <c r="G49" s="38">
        <f t="shared" si="4"/>
        <v>9.9000000000000005E-2</v>
      </c>
      <c r="J49" s="2"/>
    </row>
    <row r="50" spans="1:12" x14ac:dyDescent="0.2">
      <c r="A50" t="str">
        <f t="shared" si="1"/>
        <v>2019</v>
      </c>
      <c r="B50" s="23"/>
      <c r="C50" s="53">
        <f>'[2]TICO 2'!R66</f>
        <v>116765056</v>
      </c>
      <c r="D50" s="28">
        <f>'6.4'!D50</f>
        <v>1.0499999999999947</v>
      </c>
      <c r="E50" s="26">
        <f t="shared" si="3"/>
        <v>122603308.79999939</v>
      </c>
      <c r="F50" s="53">
        <f>'[2]TICO 2'!X66</f>
        <v>37912359</v>
      </c>
      <c r="G50" s="38">
        <f t="shared" si="4"/>
        <v>0.309</v>
      </c>
      <c r="J50" s="2"/>
    </row>
    <row r="51" spans="1:12" x14ac:dyDescent="0.2">
      <c r="A51" t="str">
        <f t="shared" si="1"/>
        <v>2020</v>
      </c>
      <c r="B51" s="23"/>
      <c r="C51" s="53">
        <f>'[2]TICO 2'!R67</f>
        <v>121483867</v>
      </c>
      <c r="D51" s="28">
        <f>'6.4'!D51</f>
        <v>1.0500000000000036</v>
      </c>
      <c r="E51" s="26">
        <f t="shared" si="3"/>
        <v>127558060.35000044</v>
      </c>
      <c r="F51" s="53">
        <f>'[2]TICO 2'!X67</f>
        <v>56914326</v>
      </c>
      <c r="G51" s="38">
        <f>ROUND(F51/E51,3)</f>
        <v>0.44600000000000001</v>
      </c>
      <c r="J51" s="2"/>
    </row>
    <row r="52" spans="1:12" x14ac:dyDescent="0.2">
      <c r="A52" t="str">
        <f t="shared" si="1"/>
        <v>2021</v>
      </c>
      <c r="B52" s="23"/>
      <c r="C52" s="53">
        <f>'[2]TICO 2'!R68</f>
        <v>130431457</v>
      </c>
      <c r="D52" s="28">
        <f>'6.4'!D52</f>
        <v>1.0500000000000056</v>
      </c>
      <c r="E52" s="26">
        <f t="shared" ref="E52" si="5">C52*D52</f>
        <v>136953029.85000074</v>
      </c>
      <c r="F52" s="53">
        <f>'[2]TICO 2'!X68</f>
        <v>59218023</v>
      </c>
      <c r="G52" s="38">
        <f>ROUND(F52/E52,3)</f>
        <v>0.432</v>
      </c>
      <c r="J52" s="2"/>
    </row>
    <row r="53" spans="1:12" x14ac:dyDescent="0.2">
      <c r="A53" t="str">
        <f t="shared" si="1"/>
        <v>2022</v>
      </c>
      <c r="B53" s="23"/>
      <c r="C53" s="53">
        <f>'[2]TICO 2'!R69</f>
        <v>150688863</v>
      </c>
      <c r="D53" s="28">
        <f>'6.4'!D53</f>
        <v>1.0228262738748721</v>
      </c>
      <c r="E53" s="26">
        <f t="shared" ref="E53:E54" si="6">C53*D53</f>
        <v>154128528.25673109</v>
      </c>
      <c r="F53" s="53">
        <f>'[2]TICO 2'!X69</f>
        <v>29043816</v>
      </c>
      <c r="G53" s="38">
        <f>ROUND(F53/E53,3)</f>
        <v>0.188</v>
      </c>
      <c r="J53" s="2"/>
    </row>
    <row r="54" spans="1:12" x14ac:dyDescent="0.2">
      <c r="A54" t="str">
        <f t="shared" si="1"/>
        <v>2023</v>
      </c>
      <c r="B54" s="23"/>
      <c r="C54" s="53">
        <f>'[2]TICO 2'!R70</f>
        <v>184410719</v>
      </c>
      <c r="D54" s="28">
        <f>'6.4'!D54</f>
        <v>1</v>
      </c>
      <c r="E54" s="26">
        <f t="shared" si="6"/>
        <v>184410719</v>
      </c>
      <c r="F54" s="53">
        <f>'[2]TICO 2'!X70</f>
        <v>76562111</v>
      </c>
      <c r="G54" s="38">
        <f>ROUND(F54/E54,3)</f>
        <v>0.41499999999999998</v>
      </c>
      <c r="J54" s="2"/>
    </row>
    <row r="55" spans="1:12" x14ac:dyDescent="0.2">
      <c r="A55" s="146"/>
      <c r="B55" s="146"/>
      <c r="C55" s="146"/>
      <c r="D55" s="146"/>
      <c r="E55" s="146"/>
      <c r="F55" s="146"/>
      <c r="G55" s="146"/>
      <c r="J55" s="2"/>
    </row>
    <row r="56" spans="1:12" x14ac:dyDescent="0.2">
      <c r="A56" t="s">
        <v>9</v>
      </c>
      <c r="C56" s="26">
        <f>SUM(C14:C55)</f>
        <v>2552683589.4176068</v>
      </c>
      <c r="D56" s="26"/>
      <c r="E56" s="26">
        <f>SUM(E14:E55)</f>
        <v>3977767036.3728561</v>
      </c>
      <c r="F56" s="26">
        <f>SUM(F14:F55)</f>
        <v>1360090148</v>
      </c>
      <c r="G56" s="22">
        <f>ROUND(F56/E56,3)</f>
        <v>0.34200000000000003</v>
      </c>
      <c r="J56" s="2"/>
      <c r="K56" s="11" t="s">
        <v>198</v>
      </c>
      <c r="L56" s="11" t="s">
        <v>199</v>
      </c>
    </row>
    <row r="57" spans="1:12" ht="12" thickBot="1" x14ac:dyDescent="0.25">
      <c r="A57" s="6"/>
      <c r="B57" s="6"/>
      <c r="C57" s="6"/>
      <c r="D57" s="6"/>
      <c r="E57" s="6"/>
      <c r="F57" s="6"/>
      <c r="G57" s="6"/>
      <c r="J57" s="2"/>
      <c r="K57" s="140">
        <f>'6.4'!K$56</f>
        <v>45199</v>
      </c>
      <c r="L57" s="140">
        <f>'6.4'!L$56</f>
        <v>45291</v>
      </c>
    </row>
    <row r="58" spans="1:12" ht="12" thickTop="1" x14ac:dyDescent="0.2">
      <c r="J58" s="2"/>
    </row>
    <row r="59" spans="1:12" x14ac:dyDescent="0.2">
      <c r="A59" t="s">
        <v>17</v>
      </c>
      <c r="J59" s="2"/>
    </row>
    <row r="60" spans="1:12" x14ac:dyDescent="0.2">
      <c r="A60" s="12" t="str">
        <f>C12&amp;" Provided by TDI.  Accident years ending "&amp;TEXT($K$57,"m/d/xx")&amp;" as of "&amp;TEXT($L$57,"m/d/yyyy")</f>
        <v>(2) Provided by TDI.  Accident years ending 9/30/xx as of 12/31/2023</v>
      </c>
      <c r="J60" s="2"/>
    </row>
    <row r="61" spans="1:12" x14ac:dyDescent="0.2">
      <c r="A61" s="12" t="str">
        <f>'6.4'!A61</f>
        <v>(3) 1987 and prior judgementally selected; 1988 - 2023 based on TWIA on-level factors</v>
      </c>
      <c r="J61" s="2"/>
    </row>
    <row r="62" spans="1:12" x14ac:dyDescent="0.2">
      <c r="A62" s="12" t="str">
        <f>E12&amp;" = "&amp;C12&amp;" * "&amp;D12</f>
        <v>(4) = (2) * (3)</v>
      </c>
      <c r="J62" s="2"/>
    </row>
    <row r="63" spans="1:12" x14ac:dyDescent="0.2">
      <c r="A63" s="12" t="str">
        <f>'6.5'!A64</f>
        <v>(5) Provided by TDI. Accident years ending 9/30/xx as of 12/31/2023</v>
      </c>
      <c r="J63" s="2"/>
    </row>
    <row r="64" spans="1:12" x14ac:dyDescent="0.2">
      <c r="A64" s="12" t="str">
        <f>G12&amp;" = "&amp;F12&amp;" / "&amp;E12</f>
        <v>(6) = (5) / (4)</v>
      </c>
      <c r="J64" s="2"/>
    </row>
    <row r="65" spans="1:10" ht="12" thickBot="1" x14ac:dyDescent="0.25">
      <c r="D65" s="42"/>
      <c r="E65" s="42"/>
      <c r="F65" s="42"/>
      <c r="G65" s="22"/>
      <c r="J65" s="2"/>
    </row>
    <row r="66" spans="1:10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>
    <tabColor rgb="FF00FF00"/>
  </sheetPr>
  <dimension ref="A1:Q69"/>
  <sheetViews>
    <sheetView showGridLines="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272</v>
      </c>
      <c r="L1" s="1"/>
      <c r="O1" t="s">
        <v>369</v>
      </c>
      <c r="P1" t="s">
        <v>424</v>
      </c>
    </row>
    <row r="2" spans="1:16" x14ac:dyDescent="0.2">
      <c r="A2" s="8" t="str">
        <f>'1'!$A$2</f>
        <v>Residential Property - Wind &amp; Hail</v>
      </c>
      <c r="B2" s="12"/>
      <c r="K2" s="7" t="s">
        <v>21</v>
      </c>
      <c r="L2" s="2"/>
      <c r="O2" s="180" t="s">
        <v>417</v>
      </c>
      <c r="P2" s="184">
        <f ca="1">'1'!H15</f>
        <v>0.38</v>
      </c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418</v>
      </c>
      <c r="B4" s="12"/>
      <c r="L4" s="2"/>
    </row>
    <row r="5" spans="1:16" x14ac:dyDescent="0.2">
      <c r="A5" t="s">
        <v>441</v>
      </c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L8" s="2"/>
    </row>
    <row r="9" spans="1:16" x14ac:dyDescent="0.2">
      <c r="C9" s="140" t="s">
        <v>129</v>
      </c>
      <c r="D9" s="11"/>
      <c r="E9" s="11"/>
      <c r="L9" s="2"/>
      <c r="M9" s="17"/>
    </row>
    <row r="10" spans="1:16" x14ac:dyDescent="0.2">
      <c r="C10" s="11" t="s">
        <v>130</v>
      </c>
      <c r="D10" s="11" t="s">
        <v>131</v>
      </c>
      <c r="E10" s="11" t="s">
        <v>134</v>
      </c>
      <c r="L10" s="2"/>
      <c r="M10" s="12" t="s">
        <v>151</v>
      </c>
    </row>
    <row r="11" spans="1:16" x14ac:dyDescent="0.2">
      <c r="A11" s="9" t="s">
        <v>128</v>
      </c>
      <c r="B11" s="9"/>
      <c r="C11" s="125" t="str">
        <f>"as of "&amp;TEXT($M$11,"m/d/yy")</f>
        <v>as of 11/30/23</v>
      </c>
      <c r="D11" s="125" t="s">
        <v>132</v>
      </c>
      <c r="E11" s="125" t="s">
        <v>133</v>
      </c>
      <c r="L11" s="2"/>
      <c r="M11" s="55">
        <f>'10.2'!J14</f>
        <v>45260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D13" s="11"/>
      <c r="L13" s="2"/>
    </row>
    <row r="14" spans="1:16" x14ac:dyDescent="0.2">
      <c r="A14" t="s">
        <v>136</v>
      </c>
      <c r="C14" s="157">
        <f>ROUND('[2]Hurr Models'!F5/1000,0)</f>
        <v>3019446</v>
      </c>
      <c r="D14" s="133">
        <f>E14/C14</f>
        <v>2.3616870595798036</v>
      </c>
      <c r="E14" s="157">
        <f>'[2]Hurr Models'!L29</f>
        <v>7130986.5453000003</v>
      </c>
      <c r="G14" s="19"/>
      <c r="H14" s="19"/>
      <c r="I14" s="19"/>
      <c r="L14" s="2"/>
    </row>
    <row r="15" spans="1:16" x14ac:dyDescent="0.2">
      <c r="A15" t="s">
        <v>137</v>
      </c>
      <c r="C15" s="157">
        <f>ROUND('[2]Hurr Models'!F6/1000,0)</f>
        <v>18080728</v>
      </c>
      <c r="D15" s="133">
        <f t="shared" ref="D15:D28" si="0">E15/C15</f>
        <v>1.744718175208432</v>
      </c>
      <c r="E15" s="157">
        <f>'[2]Hurr Models'!L30</f>
        <v>31545774.762600001</v>
      </c>
      <c r="G15" s="19"/>
      <c r="H15" s="19"/>
      <c r="I15" s="19"/>
      <c r="L15" s="2"/>
    </row>
    <row r="16" spans="1:16" x14ac:dyDescent="0.2">
      <c r="A16" t="s">
        <v>138</v>
      </c>
      <c r="C16" s="157">
        <f>ROUND('[2]Hurr Models'!F7/1000,0)</f>
        <v>1381279</v>
      </c>
      <c r="D16" s="133">
        <f t="shared" si="0"/>
        <v>2.9802148772261075</v>
      </c>
      <c r="E16" s="157">
        <f>'[2]Hurr Models'!L31</f>
        <v>4116508.2254000003</v>
      </c>
      <c r="G16" s="19"/>
      <c r="H16" s="19"/>
      <c r="I16" s="19"/>
      <c r="L16" s="2"/>
    </row>
    <row r="17" spans="1:17" x14ac:dyDescent="0.2">
      <c r="A17" t="s">
        <v>139</v>
      </c>
      <c r="C17" s="157">
        <f>ROUND('[2]Hurr Models'!F8/1000,0)</f>
        <v>2885907</v>
      </c>
      <c r="D17" s="133">
        <f t="shared" si="0"/>
        <v>1.972163289981278</v>
      </c>
      <c r="E17" s="157">
        <f>'[2]Hurr Models'!L32</f>
        <v>5691479.8437000001</v>
      </c>
      <c r="G17" s="19"/>
      <c r="H17" s="19"/>
      <c r="I17" s="19"/>
      <c r="L17" s="2"/>
    </row>
    <row r="18" spans="1:17" x14ac:dyDescent="0.2">
      <c r="A18" t="s">
        <v>140</v>
      </c>
      <c r="C18" s="157">
        <f>ROUND('[2]Hurr Models'!F9/1000,0)</f>
        <v>3031783</v>
      </c>
      <c r="D18" s="133">
        <f t="shared" si="0"/>
        <v>1.5055123222209503</v>
      </c>
      <c r="E18" s="157">
        <f>'[2]Hurr Models'!L33</f>
        <v>4564386.6647999994</v>
      </c>
      <c r="G18" s="19"/>
      <c r="H18" s="19"/>
      <c r="I18" s="19"/>
      <c r="L18" s="2"/>
    </row>
    <row r="19" spans="1:17" x14ac:dyDescent="0.2">
      <c r="A19" t="s">
        <v>141</v>
      </c>
      <c r="C19" s="157">
        <f>ROUND('[2]Hurr Models'!F10/1000,0)</f>
        <v>32274036</v>
      </c>
      <c r="D19" s="133">
        <f t="shared" si="0"/>
        <v>3.6706497701093226</v>
      </c>
      <c r="E19" s="157">
        <f>'[2]Hurr Models'!L34</f>
        <v>118466682.8239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142</v>
      </c>
      <c r="C20" s="157">
        <f>ROUND('[2]Hurr Models'!F11/1000,0)</f>
        <v>1721743</v>
      </c>
      <c r="D20" s="133">
        <f t="shared" si="0"/>
        <v>4.0995226644162344</v>
      </c>
      <c r="E20" s="157">
        <f>'[2]Hurr Models'!L35</f>
        <v>7058324.4508000007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143</v>
      </c>
      <c r="C21" s="157">
        <f>ROUND('[2]Hurr Models'!F12/1000,0)</f>
        <v>9595251</v>
      </c>
      <c r="D21" s="133">
        <f t="shared" si="0"/>
        <v>2.0048516446208646</v>
      </c>
      <c r="E21" s="157">
        <f>'[2]Hurr Models'!L36</f>
        <v>19237054.747899998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144</v>
      </c>
      <c r="C22" s="157">
        <f>ROUND('[2]Hurr Models'!F13/1000,0)</f>
        <v>6832</v>
      </c>
      <c r="D22" s="133">
        <f t="shared" si="0"/>
        <v>1.18637268735363</v>
      </c>
      <c r="E22" s="157">
        <f>'[2]Hurr Models'!L37</f>
        <v>8105.2982000000002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145</v>
      </c>
      <c r="B23" s="12"/>
      <c r="C23" s="157">
        <f>ROUND('[2]Hurr Models'!F14/1000,0)</f>
        <v>259620</v>
      </c>
      <c r="D23" s="133">
        <f t="shared" si="0"/>
        <v>0.93725282181650105</v>
      </c>
      <c r="E23" s="157">
        <f>'[2]Hurr Models'!L38</f>
        <v>243329.57759999999</v>
      </c>
      <c r="G23" s="19"/>
      <c r="H23" s="19"/>
      <c r="I23" s="19"/>
      <c r="L23" s="2"/>
    </row>
    <row r="24" spans="1:17" x14ac:dyDescent="0.2">
      <c r="A24" t="s">
        <v>146</v>
      </c>
      <c r="B24" s="12"/>
      <c r="C24" s="157">
        <f>ROUND('[2]Hurr Models'!F15/1000,0)</f>
        <v>1683218</v>
      </c>
      <c r="D24" s="133">
        <f t="shared" si="0"/>
        <v>2.5234187549681621</v>
      </c>
      <c r="E24" s="157">
        <f>'[2]Hurr Models'!L39</f>
        <v>4247463.8699000003</v>
      </c>
      <c r="G24" s="19"/>
      <c r="H24" s="19"/>
      <c r="I24" s="19"/>
      <c r="L24" s="2"/>
    </row>
    <row r="25" spans="1:17" x14ac:dyDescent="0.2">
      <c r="A25" t="s">
        <v>147</v>
      </c>
      <c r="B25" s="12"/>
      <c r="C25" s="157">
        <f>ROUND('[2]Hurr Models'!F16/1000,0)</f>
        <v>14858281</v>
      </c>
      <c r="D25" s="133">
        <f t="shared" si="0"/>
        <v>2.6514163861889544</v>
      </c>
      <c r="E25" s="157">
        <f>'[2]Hurr Models'!L40</f>
        <v>39395489.714000002</v>
      </c>
      <c r="G25" s="19"/>
      <c r="H25" s="19"/>
      <c r="I25" s="19"/>
      <c r="L25" s="2"/>
    </row>
    <row r="26" spans="1:17" x14ac:dyDescent="0.2">
      <c r="A26" t="s">
        <v>148</v>
      </c>
      <c r="C26" s="157">
        <f>ROUND('[2]Hurr Models'!F17/1000,0)</f>
        <v>120043</v>
      </c>
      <c r="D26" s="133">
        <f t="shared" si="0"/>
        <v>1.655215103754488</v>
      </c>
      <c r="E26" s="157">
        <f>'[2]Hurr Models'!L41</f>
        <v>198696.98670000001</v>
      </c>
      <c r="G26" s="19"/>
      <c r="H26" s="19"/>
      <c r="I26" s="19"/>
      <c r="L26" s="2"/>
    </row>
    <row r="27" spans="1:17" x14ac:dyDescent="0.2">
      <c r="A27" t="s">
        <v>149</v>
      </c>
      <c r="C27" s="157">
        <f>ROUND('[2]Hurr Models'!F18/1000,0)</f>
        <v>2873434</v>
      </c>
      <c r="D27" s="133">
        <f t="shared" si="0"/>
        <v>2.084844604956996</v>
      </c>
      <c r="E27" s="157">
        <f>'[2]Hurr Models'!L42</f>
        <v>5990663.3726000004</v>
      </c>
      <c r="G27" s="19"/>
      <c r="H27" s="19"/>
      <c r="I27" s="19"/>
      <c r="L27" s="2"/>
    </row>
    <row r="28" spans="1:17" x14ac:dyDescent="0.2">
      <c r="A28" t="s">
        <v>150</v>
      </c>
      <c r="C28" s="157">
        <f>ROUND('[2]Hurr Models'!F19/1000,0)</f>
        <v>110591</v>
      </c>
      <c r="D28" s="133">
        <f t="shared" si="0"/>
        <v>2.2077576556862675</v>
      </c>
      <c r="E28" s="157">
        <f>'[2]Hurr Models'!L43</f>
        <v>244158.1269</v>
      </c>
      <c r="G28" s="19"/>
      <c r="H28" s="19"/>
      <c r="I28" s="19"/>
      <c r="L28" s="2"/>
    </row>
    <row r="29" spans="1:17" x14ac:dyDescent="0.2">
      <c r="A29" s="9"/>
      <c r="B29" s="24"/>
      <c r="C29" s="25"/>
      <c r="D29" s="134"/>
      <c r="E29" s="27"/>
      <c r="L29" s="2"/>
    </row>
    <row r="30" spans="1:17" x14ac:dyDescent="0.2">
      <c r="C30" s="19"/>
      <c r="D30" s="135"/>
      <c r="E30" s="12"/>
      <c r="L30" s="2"/>
    </row>
    <row r="31" spans="1:17" x14ac:dyDescent="0.2">
      <c r="A31" t="s">
        <v>9</v>
      </c>
      <c r="C31" s="26">
        <f>SUM(C14:C28)</f>
        <v>91902192</v>
      </c>
      <c r="D31" s="133">
        <f>E31/C31</f>
        <v>2.7000346739313899</v>
      </c>
      <c r="E31" s="26">
        <f>SUM(E14:E28)</f>
        <v>248139105.01029998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41" t="s">
        <v>106</v>
      </c>
      <c r="B33" t="str">
        <f>"In-Force Premium as of "&amp;TEXT(M11,"mm/dd/yy")&amp;" at Present Rates"</f>
        <v>In-Force Premium as of 11/30/23 at Present Rates</v>
      </c>
      <c r="E33" s="157">
        <f>SUM([2]PremIF!$D$23:$D$24)</f>
        <v>519593434</v>
      </c>
      <c r="I33" s="19"/>
      <c r="L33" s="2"/>
      <c r="M33" s="47">
        <f>'9.2'!$L$28</f>
        <v>45291</v>
      </c>
    </row>
    <row r="34" spans="1:13" x14ac:dyDescent="0.2">
      <c r="A34" s="41" t="s">
        <v>110</v>
      </c>
      <c r="B34" t="s">
        <v>135</v>
      </c>
      <c r="E34" s="20">
        <f>ROUND(E31/E33,3)</f>
        <v>0.47799999999999998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 and geo-coded by Verisk"</f>
        <v>(2) Provided by TWIA and geo-coded by Verisk</v>
      </c>
      <c r="L38" s="2"/>
    </row>
    <row r="39" spans="1:13" x14ac:dyDescent="0.2">
      <c r="B39" s="12" t="str">
        <f>D12&amp;" = "&amp;E12&amp;" / "&amp;C12</f>
        <v>(3) = (4) / (2)</v>
      </c>
      <c r="L39" s="2"/>
    </row>
    <row r="40" spans="1:13" x14ac:dyDescent="0.2">
      <c r="B40" s="12" t="str">
        <f>E12&amp;" Provided by Verisk"&amp;" using Verisk Touchstone v10 (versus Verisk Touchstone v9 for prior year results)"</f>
        <v>(4) Provided by Verisk using Verisk Touchstone v10 (versus Verisk Touchstone v9 for prior year results)</v>
      </c>
      <c r="F40" s="42"/>
      <c r="G40" s="22"/>
      <c r="L40" s="2"/>
    </row>
    <row r="41" spans="1:13" x14ac:dyDescent="0.2">
      <c r="B41" s="12" t="str">
        <f>A33&amp;" Provided by TWIA"</f>
        <v>(5) Provided by TWIA</v>
      </c>
      <c r="L41" s="2"/>
    </row>
    <row r="42" spans="1:13" x14ac:dyDescent="0.2">
      <c r="B42" s="12" t="str">
        <f>A34&amp;" = "&amp;E12&amp;" Total / "&amp;A33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272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81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155</v>
      </c>
      <c r="B4" s="12"/>
      <c r="L4" s="2"/>
    </row>
    <row r="5" spans="1:13" x14ac:dyDescent="0.2">
      <c r="A5" t="s">
        <v>440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40" t="s">
        <v>129</v>
      </c>
      <c r="D9" s="11"/>
      <c r="E9" s="11"/>
      <c r="L9" s="2"/>
      <c r="M9" s="17"/>
    </row>
    <row r="10" spans="1:13" x14ac:dyDescent="0.2">
      <c r="C10" s="11" t="s">
        <v>130</v>
      </c>
      <c r="D10" s="11" t="s">
        <v>131</v>
      </c>
      <c r="E10" s="11" t="s">
        <v>134</v>
      </c>
      <c r="L10" s="2"/>
      <c r="M10" s="12" t="s">
        <v>151</v>
      </c>
    </row>
    <row r="11" spans="1:13" x14ac:dyDescent="0.2">
      <c r="A11" s="9" t="s">
        <v>128</v>
      </c>
      <c r="B11" s="9"/>
      <c r="C11" s="125" t="str">
        <f>"as of "&amp;TEXT($M$11,"m/d/yy")</f>
        <v>as of 11/30/23</v>
      </c>
      <c r="D11" s="125" t="s">
        <v>132</v>
      </c>
      <c r="E11" s="125" t="s">
        <v>133</v>
      </c>
      <c r="L11" s="2"/>
      <c r="M11" s="37">
        <f>'7.1'!$M$11</f>
        <v>45260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136</v>
      </c>
      <c r="C14" s="26">
        <f>'7.1'!C14</f>
        <v>3019446</v>
      </c>
      <c r="D14" s="133">
        <f>E14/C14</f>
        <v>2.3630322780735278</v>
      </c>
      <c r="E14" s="157">
        <f>'[2]Hurr Models'!L5</f>
        <v>7135048.3599000005</v>
      </c>
      <c r="L14" s="2"/>
    </row>
    <row r="15" spans="1:13" x14ac:dyDescent="0.2">
      <c r="A15" t="s">
        <v>137</v>
      </c>
      <c r="C15" s="26">
        <f>'7.1'!C15</f>
        <v>18080728</v>
      </c>
      <c r="D15" s="133">
        <f t="shared" ref="D15:D28" si="0">E15/C15</f>
        <v>1.7053678351612831</v>
      </c>
      <c r="E15" s="157">
        <f>'[2]Hurr Models'!L6</f>
        <v>30834291.967499997</v>
      </c>
      <c r="L15" s="2"/>
    </row>
    <row r="16" spans="1:13" x14ac:dyDescent="0.2">
      <c r="A16" t="s">
        <v>138</v>
      </c>
      <c r="C16" s="26">
        <f>'7.1'!C16</f>
        <v>1381279</v>
      </c>
      <c r="D16" s="133">
        <f t="shared" si="0"/>
        <v>3.6120204486566436</v>
      </c>
      <c r="E16" s="157">
        <f>'[2]Hurr Models'!L7</f>
        <v>4989207.9933000002</v>
      </c>
      <c r="L16" s="2"/>
    </row>
    <row r="17" spans="1:12" x14ac:dyDescent="0.2">
      <c r="A17" t="s">
        <v>139</v>
      </c>
      <c r="C17" s="26">
        <f>'7.1'!C17</f>
        <v>2885907</v>
      </c>
      <c r="D17" s="133">
        <f t="shared" si="0"/>
        <v>2.3000545429565125</v>
      </c>
      <c r="E17" s="157">
        <f>'[2]Hurr Models'!L8</f>
        <v>6637743.5059000002</v>
      </c>
      <c r="L17" s="2"/>
    </row>
    <row r="18" spans="1:12" x14ac:dyDescent="0.2">
      <c r="A18" t="s">
        <v>140</v>
      </c>
      <c r="C18" s="26">
        <f>'7.1'!C18</f>
        <v>3031783</v>
      </c>
      <c r="D18" s="133">
        <f t="shared" si="0"/>
        <v>1.5559046764230819</v>
      </c>
      <c r="E18" s="157">
        <f>'[2]Hurr Models'!L9</f>
        <v>4717165.3476000009</v>
      </c>
      <c r="L18" s="2"/>
    </row>
    <row r="19" spans="1:12" x14ac:dyDescent="0.2">
      <c r="A19" t="s">
        <v>141</v>
      </c>
      <c r="C19" s="26">
        <f>'7.1'!C19</f>
        <v>32274036</v>
      </c>
      <c r="D19" s="133">
        <f t="shared" si="0"/>
        <v>2.9413266947276129</v>
      </c>
      <c r="E19" s="157">
        <f>'[2]Hurr Models'!L10</f>
        <v>94928483.633399993</v>
      </c>
      <c r="L19" s="2"/>
    </row>
    <row r="20" spans="1:12" x14ac:dyDescent="0.2">
      <c r="A20" t="s">
        <v>142</v>
      </c>
      <c r="C20" s="26">
        <f>'7.1'!C20</f>
        <v>1721743</v>
      </c>
      <c r="D20" s="133">
        <f t="shared" si="0"/>
        <v>2.9687090994997507</v>
      </c>
      <c r="E20" s="157">
        <f>'[2]Hurr Models'!L11</f>
        <v>5111354.1110999994</v>
      </c>
      <c r="L20" s="2"/>
    </row>
    <row r="21" spans="1:12" x14ac:dyDescent="0.2">
      <c r="A21" t="s">
        <v>143</v>
      </c>
      <c r="C21" s="26">
        <f>'7.1'!C21</f>
        <v>9595251</v>
      </c>
      <c r="D21" s="133">
        <f t="shared" si="0"/>
        <v>1.9733550363091077</v>
      </c>
      <c r="E21" s="157">
        <f>'[2]Hurr Models'!L12</f>
        <v>18934836.885500003</v>
      </c>
      <c r="L21" s="2"/>
    </row>
    <row r="22" spans="1:12" x14ac:dyDescent="0.2">
      <c r="A22" t="s">
        <v>144</v>
      </c>
      <c r="C22" s="26">
        <f>'7.1'!C22</f>
        <v>6832</v>
      </c>
      <c r="D22" s="133">
        <f t="shared" si="0"/>
        <v>1.9989167593676815</v>
      </c>
      <c r="E22" s="157">
        <f>'[2]Hurr Models'!L13</f>
        <v>13656.5993</v>
      </c>
      <c r="L22" s="2"/>
    </row>
    <row r="23" spans="1:12" x14ac:dyDescent="0.2">
      <c r="A23" t="s">
        <v>145</v>
      </c>
      <c r="B23" s="12"/>
      <c r="C23" s="26">
        <f>'7.1'!C23</f>
        <v>259620</v>
      </c>
      <c r="D23" s="133">
        <f t="shared" si="0"/>
        <v>1.4884069983052155</v>
      </c>
      <c r="E23" s="157">
        <f>'[2]Hurr Models'!L14</f>
        <v>386420.22490000003</v>
      </c>
      <c r="L23" s="2"/>
    </row>
    <row r="24" spans="1:12" x14ac:dyDescent="0.2">
      <c r="A24" t="s">
        <v>146</v>
      </c>
      <c r="B24" s="12"/>
      <c r="C24" s="26">
        <f>'7.1'!C24</f>
        <v>1683218</v>
      </c>
      <c r="D24" s="133">
        <f t="shared" si="0"/>
        <v>2.8477733519959982</v>
      </c>
      <c r="E24" s="157">
        <f>'[2]Hurr Models'!L15</f>
        <v>4793423.3660000004</v>
      </c>
      <c r="L24" s="2"/>
    </row>
    <row r="25" spans="1:12" x14ac:dyDescent="0.2">
      <c r="A25" t="s">
        <v>147</v>
      </c>
      <c r="B25" s="12"/>
      <c r="C25" s="26">
        <f>'7.1'!C25</f>
        <v>14858281</v>
      </c>
      <c r="D25" s="133">
        <f t="shared" si="0"/>
        <v>2.3025326240363877</v>
      </c>
      <c r="E25" s="157">
        <f>'[2]Hurr Models'!L16</f>
        <v>34211676.739600003</v>
      </c>
      <c r="L25" s="2"/>
    </row>
    <row r="26" spans="1:12" x14ac:dyDescent="0.2">
      <c r="A26" t="s">
        <v>148</v>
      </c>
      <c r="C26" s="26">
        <f>'7.1'!C26</f>
        <v>120043</v>
      </c>
      <c r="D26" s="133">
        <f t="shared" si="0"/>
        <v>2.2989885299434367</v>
      </c>
      <c r="E26" s="157">
        <f>'[2]Hurr Models'!L17</f>
        <v>275977.48009999999</v>
      </c>
      <c r="L26" s="2"/>
    </row>
    <row r="27" spans="1:12" x14ac:dyDescent="0.2">
      <c r="A27" t="s">
        <v>149</v>
      </c>
      <c r="C27" s="26">
        <f>'7.1'!C27</f>
        <v>2873434</v>
      </c>
      <c r="D27" s="133">
        <f t="shared" si="0"/>
        <v>2.1889529418110873</v>
      </c>
      <c r="E27" s="157">
        <f>'[2]Hurr Models'!L18</f>
        <v>6289811.8074000003</v>
      </c>
      <c r="L27" s="2"/>
    </row>
    <row r="28" spans="1:12" x14ac:dyDescent="0.2">
      <c r="A28" t="s">
        <v>150</v>
      </c>
      <c r="C28" s="26">
        <f>'7.1'!C28</f>
        <v>110591</v>
      </c>
      <c r="D28" s="133">
        <f t="shared" si="0"/>
        <v>2.6475977439393801</v>
      </c>
      <c r="E28" s="157">
        <f>'[2]Hurr Models'!L19</f>
        <v>292800.48209999996</v>
      </c>
      <c r="L28" s="2"/>
    </row>
    <row r="29" spans="1:12" x14ac:dyDescent="0.2">
      <c r="A29" s="9"/>
      <c r="B29" s="24"/>
      <c r="C29" s="27"/>
      <c r="D29" s="134"/>
      <c r="E29" s="27"/>
      <c r="L29" s="2"/>
    </row>
    <row r="30" spans="1:12" x14ac:dyDescent="0.2">
      <c r="C30" s="19"/>
      <c r="D30" s="135"/>
      <c r="E30" s="12"/>
      <c r="L30" s="2"/>
    </row>
    <row r="31" spans="1:12" x14ac:dyDescent="0.2">
      <c r="A31" t="s">
        <v>9</v>
      </c>
      <c r="C31" s="26">
        <f>SUM(C14:C28)</f>
        <v>91902192</v>
      </c>
      <c r="D31" s="133">
        <f>E31/C31</f>
        <v>2.3889734697905789</v>
      </c>
      <c r="E31" s="26">
        <f>SUM(E14:E28)</f>
        <v>219551898.5036</v>
      </c>
      <c r="L31" s="2"/>
    </row>
    <row r="32" spans="1:12" x14ac:dyDescent="0.2">
      <c r="L32" s="2"/>
    </row>
    <row r="33" spans="1:13" x14ac:dyDescent="0.2">
      <c r="A33" s="41" t="s">
        <v>106</v>
      </c>
      <c r="B33" t="str">
        <f>'7.1'!B33</f>
        <v>In-Force Premium as of 11/30/23 at Present Rates</v>
      </c>
      <c r="E33" s="26">
        <f>'7.1'!E33</f>
        <v>519593434</v>
      </c>
      <c r="L33" s="2"/>
      <c r="M33" s="47">
        <f>'7.1'!$M$33</f>
        <v>45291</v>
      </c>
    </row>
    <row r="34" spans="1:13" x14ac:dyDescent="0.2">
      <c r="A34" s="41" t="s">
        <v>110</v>
      </c>
      <c r="B34" t="s">
        <v>135</v>
      </c>
      <c r="E34" s="20">
        <f>ROUND(E31/E33,3)</f>
        <v>0.42299999999999999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 and geo-coded by RMS"</f>
        <v>(2) Provided by TWIA and geo-coded by RMS</v>
      </c>
      <c r="L38" s="2"/>
    </row>
    <row r="39" spans="1:13" x14ac:dyDescent="0.2">
      <c r="B39" s="12" t="str">
        <f>D12&amp;" = "&amp;E12&amp;" / "&amp;C12</f>
        <v>(3) = (4) / (2)</v>
      </c>
      <c r="L39" s="2"/>
    </row>
    <row r="40" spans="1:13" x14ac:dyDescent="0.2">
      <c r="B40" s="12" t="str">
        <f>E12&amp;" Provided by RMS"&amp;" using RMS RiskLink v23 (versus RMS RiskLink v21 for prior year results)"</f>
        <v>(4) Provided by RMS using RMS RiskLink v23 (versus RMS RiskLink v21 for prior year results)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0194-4D98-4503-82BB-DA16DE1B1A75}">
  <sheetPr>
    <tabColor rgb="FF00FF00"/>
  </sheetPr>
  <dimension ref="A1:M69"/>
  <sheetViews>
    <sheetView showGridLines="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272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83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413</v>
      </c>
      <c r="B4" s="12"/>
      <c r="L4" s="2"/>
    </row>
    <row r="5" spans="1:13" x14ac:dyDescent="0.2">
      <c r="A5" t="s">
        <v>439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40" t="s">
        <v>129</v>
      </c>
      <c r="D9" s="11"/>
      <c r="E9" s="11"/>
      <c r="L9" s="2"/>
      <c r="M9" s="17"/>
    </row>
    <row r="10" spans="1:13" x14ac:dyDescent="0.2">
      <c r="C10" s="11" t="s">
        <v>130</v>
      </c>
      <c r="D10" s="11" t="s">
        <v>131</v>
      </c>
      <c r="E10" s="11" t="s">
        <v>134</v>
      </c>
      <c r="L10" s="2"/>
      <c r="M10" s="12" t="s">
        <v>151</v>
      </c>
    </row>
    <row r="11" spans="1:13" x14ac:dyDescent="0.2">
      <c r="A11" s="9" t="s">
        <v>128</v>
      </c>
      <c r="B11" s="9"/>
      <c r="C11" s="125" t="str">
        <f>"as of "&amp;TEXT($M$11,"m/d/yy")</f>
        <v>as of 11/30/23</v>
      </c>
      <c r="D11" s="125" t="s">
        <v>132</v>
      </c>
      <c r="E11" s="125" t="s">
        <v>133</v>
      </c>
      <c r="L11" s="2"/>
      <c r="M11" s="37">
        <f>'7.1'!$M$11</f>
        <v>45260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136</v>
      </c>
      <c r="C14" s="26">
        <f>'7.1'!C14</f>
        <v>3019446</v>
      </c>
      <c r="D14" s="133">
        <f>E14/C14</f>
        <v>3.1588482309639185</v>
      </c>
      <c r="E14" s="157">
        <f>'[2]Hurr Models'!L50</f>
        <v>9537971.65559108</v>
      </c>
      <c r="L14" s="2"/>
    </row>
    <row r="15" spans="1:13" x14ac:dyDescent="0.2">
      <c r="A15" t="s">
        <v>137</v>
      </c>
      <c r="C15" s="26">
        <f>'7.1'!C15</f>
        <v>18080728</v>
      </c>
      <c r="D15" s="133">
        <f t="shared" ref="D15:D28" si="0">E15/C15</f>
        <v>2.0166313572339498</v>
      </c>
      <c r="E15" s="157">
        <f>'[2]Hurr Models'!L51</f>
        <v>36462163.046417877</v>
      </c>
      <c r="L15" s="2"/>
    </row>
    <row r="16" spans="1:13" x14ac:dyDescent="0.2">
      <c r="A16" t="s">
        <v>138</v>
      </c>
      <c r="C16" s="26">
        <f>'7.1'!C16</f>
        <v>1381279</v>
      </c>
      <c r="D16" s="133">
        <f t="shared" si="0"/>
        <v>3.8212671961830278</v>
      </c>
      <c r="E16" s="157">
        <f>'[2]Hurr Models'!L52</f>
        <v>5278236.1314764963</v>
      </c>
      <c r="L16" s="2"/>
    </row>
    <row r="17" spans="1:12" x14ac:dyDescent="0.2">
      <c r="A17" t="s">
        <v>139</v>
      </c>
      <c r="C17" s="26">
        <f>'7.1'!C17</f>
        <v>2885907</v>
      </c>
      <c r="D17" s="133">
        <f t="shared" si="0"/>
        <v>2.0894665853628132</v>
      </c>
      <c r="E17" s="157">
        <f>'[2]Hurr Models'!L53</f>
        <v>6030006.2449646406</v>
      </c>
      <c r="L17" s="2"/>
    </row>
    <row r="18" spans="1:12" x14ac:dyDescent="0.2">
      <c r="A18" t="s">
        <v>140</v>
      </c>
      <c r="C18" s="26">
        <f>'7.1'!C18</f>
        <v>3031783</v>
      </c>
      <c r="D18" s="133">
        <f t="shared" si="0"/>
        <v>1.7286709682381265</v>
      </c>
      <c r="E18" s="157">
        <f>'[2]Hurr Models'!L54</f>
        <v>5240955.254097892</v>
      </c>
      <c r="L18" s="2"/>
    </row>
    <row r="19" spans="1:12" x14ac:dyDescent="0.2">
      <c r="A19" t="s">
        <v>141</v>
      </c>
      <c r="C19" s="26">
        <f>'7.1'!C19</f>
        <v>32274036</v>
      </c>
      <c r="D19" s="133">
        <f t="shared" si="0"/>
        <v>2.1364827618575828</v>
      </c>
      <c r="E19" s="157">
        <f>'[2]Hurr Models'!L55</f>
        <v>68952921.569571048</v>
      </c>
      <c r="L19" s="2"/>
    </row>
    <row r="20" spans="1:12" x14ac:dyDescent="0.2">
      <c r="A20" t="s">
        <v>142</v>
      </c>
      <c r="C20" s="26">
        <f>'7.1'!C20</f>
        <v>1721743</v>
      </c>
      <c r="D20" s="133">
        <f t="shared" si="0"/>
        <v>2.01898679619593</v>
      </c>
      <c r="E20" s="157">
        <f>'[2]Hurr Models'!L56</f>
        <v>3476176.3834427693</v>
      </c>
      <c r="L20" s="2"/>
    </row>
    <row r="21" spans="1:12" x14ac:dyDescent="0.2">
      <c r="A21" t="s">
        <v>143</v>
      </c>
      <c r="C21" s="26">
        <f>'7.1'!C21</f>
        <v>9595251</v>
      </c>
      <c r="D21" s="133">
        <f t="shared" si="0"/>
        <v>1.6993523874945025</v>
      </c>
      <c r="E21" s="157">
        <f>'[2]Hurr Models'!L57</f>
        <v>16305712.695459012</v>
      </c>
      <c r="L21" s="2"/>
    </row>
    <row r="22" spans="1:12" x14ac:dyDescent="0.2">
      <c r="A22" t="s">
        <v>144</v>
      </c>
      <c r="C22" s="26">
        <f>'7.1'!C22</f>
        <v>6832</v>
      </c>
      <c r="D22" s="133">
        <f t="shared" si="0"/>
        <v>3.1992561171020495</v>
      </c>
      <c r="E22" s="157">
        <f>'[2]Hurr Models'!L58</f>
        <v>21857.317792041202</v>
      </c>
      <c r="L22" s="2"/>
    </row>
    <row r="23" spans="1:12" x14ac:dyDescent="0.2">
      <c r="A23" t="s">
        <v>145</v>
      </c>
      <c r="B23" s="12"/>
      <c r="C23" s="26">
        <f>'7.1'!C23</f>
        <v>259620</v>
      </c>
      <c r="D23" s="133">
        <f t="shared" si="0"/>
        <v>2.2675165061488451</v>
      </c>
      <c r="E23" s="157">
        <f>'[2]Hurr Models'!L59</f>
        <v>588692.63532636315</v>
      </c>
      <c r="L23" s="2"/>
    </row>
    <row r="24" spans="1:12" x14ac:dyDescent="0.2">
      <c r="A24" t="s">
        <v>146</v>
      </c>
      <c r="B24" s="12"/>
      <c r="C24" s="26">
        <f>'7.1'!C24</f>
        <v>1683218</v>
      </c>
      <c r="D24" s="133">
        <f t="shared" si="0"/>
        <v>3.3762471681040345</v>
      </c>
      <c r="E24" s="157">
        <f>'[2]Hurr Models'!L60</f>
        <v>5682960.0058017364</v>
      </c>
      <c r="L24" s="2"/>
    </row>
    <row r="25" spans="1:12" x14ac:dyDescent="0.2">
      <c r="A25" t="s">
        <v>147</v>
      </c>
      <c r="B25" s="12"/>
      <c r="C25" s="26">
        <f>'7.1'!C25</f>
        <v>14858281</v>
      </c>
      <c r="D25" s="133">
        <f t="shared" si="0"/>
        <v>2.4034825437210383</v>
      </c>
      <c r="E25" s="157">
        <f>'[2]Hurr Models'!L61</f>
        <v>35711619.013201974</v>
      </c>
      <c r="L25" s="2"/>
    </row>
    <row r="26" spans="1:12" x14ac:dyDescent="0.2">
      <c r="A26" t="s">
        <v>148</v>
      </c>
      <c r="C26" s="26">
        <f>'7.1'!C26</f>
        <v>120043</v>
      </c>
      <c r="D26" s="133">
        <f t="shared" si="0"/>
        <v>3.5925636230426514</v>
      </c>
      <c r="E26" s="157">
        <f>'[2]Hurr Models'!L62</f>
        <v>431262.11500090902</v>
      </c>
      <c r="L26" s="2"/>
    </row>
    <row r="27" spans="1:12" x14ac:dyDescent="0.2">
      <c r="A27" t="s">
        <v>149</v>
      </c>
      <c r="C27" s="26">
        <f>'7.1'!C27</f>
        <v>2873434</v>
      </c>
      <c r="D27" s="133">
        <f t="shared" si="0"/>
        <v>3.1074353441455496</v>
      </c>
      <c r="E27" s="157">
        <f>'[2]Hurr Models'!L63</f>
        <v>8929010.3706695233</v>
      </c>
      <c r="L27" s="2"/>
    </row>
    <row r="28" spans="1:12" x14ac:dyDescent="0.2">
      <c r="A28" t="s">
        <v>150</v>
      </c>
      <c r="C28" s="26">
        <f>'7.1'!C28</f>
        <v>110591</v>
      </c>
      <c r="D28" s="133">
        <f t="shared" si="0"/>
        <v>4.0244818673661085</v>
      </c>
      <c r="E28" s="157">
        <f>'[2]Hurr Models'!L64</f>
        <v>445071.47419388528</v>
      </c>
      <c r="L28" s="2"/>
    </row>
    <row r="29" spans="1:12" x14ac:dyDescent="0.2">
      <c r="A29" s="9"/>
      <c r="B29" s="24"/>
      <c r="C29" s="27"/>
      <c r="D29" s="134"/>
      <c r="E29" s="27"/>
      <c r="L29" s="2"/>
    </row>
    <row r="30" spans="1:12" x14ac:dyDescent="0.2">
      <c r="C30" s="19"/>
      <c r="D30" s="135"/>
      <c r="E30" s="12"/>
      <c r="L30" s="2"/>
    </row>
    <row r="31" spans="1:12" x14ac:dyDescent="0.2">
      <c r="A31" t="s">
        <v>9</v>
      </c>
      <c r="C31" s="26">
        <f>SUM(C14:C28)</f>
        <v>91902192</v>
      </c>
      <c r="D31" s="133">
        <f>E31/C31</f>
        <v>2.2098995844735367</v>
      </c>
      <c r="E31" s="26">
        <f>SUM(E14:E28)</f>
        <v>203094615.9130072</v>
      </c>
      <c r="L31" s="2"/>
    </row>
    <row r="32" spans="1:12" x14ac:dyDescent="0.2">
      <c r="L32" s="2"/>
    </row>
    <row r="33" spans="1:13" x14ac:dyDescent="0.2">
      <c r="A33" s="41" t="s">
        <v>106</v>
      </c>
      <c r="B33" t="str">
        <f>'7.1'!B33</f>
        <v>In-Force Premium as of 11/30/23 at Present Rates</v>
      </c>
      <c r="E33" s="26">
        <f>'7.1'!E33</f>
        <v>519593434</v>
      </c>
      <c r="L33" s="2"/>
      <c r="M33" s="47">
        <f>'7.1'!$M$33</f>
        <v>45291</v>
      </c>
    </row>
    <row r="34" spans="1:13" x14ac:dyDescent="0.2">
      <c r="A34" s="41" t="s">
        <v>110</v>
      </c>
      <c r="B34" t="s">
        <v>135</v>
      </c>
      <c r="E34" s="20">
        <f>ROUND(E31/E33,3)</f>
        <v>0.39100000000000001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 and geo-coded by Impact Forecasting"</f>
        <v>(2) Provided by TWIA and geo-coded by Impact Forecasting</v>
      </c>
      <c r="L38" s="2"/>
    </row>
    <row r="39" spans="1:13" x14ac:dyDescent="0.2">
      <c r="B39" s="12" t="str">
        <f>D12&amp;" = "&amp;E12&amp;" / "&amp;C12</f>
        <v>(3) = (4) / (2)</v>
      </c>
      <c r="L39" s="2"/>
    </row>
    <row r="40" spans="1:13" x14ac:dyDescent="0.2">
      <c r="B40" s="12" t="str">
        <f>E12&amp;" Provided by Impact Forecasting"&amp;" using Impact Forecasting v18 (versus Impact Forecasting v15 for prior year results)"</f>
        <v>(4) Provided by Impact Forecasting using Impact Forecasting v18 (versus Impact Forecasting v15 for prior year results)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C936-C41E-4E96-8F00-00865C697490}">
  <sheetPr>
    <tabColor rgb="FF00FF00"/>
  </sheetPr>
  <dimension ref="A1:R69"/>
  <sheetViews>
    <sheetView showGridLines="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272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85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415</v>
      </c>
      <c r="B4" s="12"/>
      <c r="L4" s="2"/>
    </row>
    <row r="5" spans="1:13" x14ac:dyDescent="0.2">
      <c r="A5" t="s">
        <v>438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40" t="s">
        <v>129</v>
      </c>
      <c r="D9" s="11"/>
      <c r="E9" s="11"/>
      <c r="L9" s="2"/>
      <c r="M9" s="17"/>
    </row>
    <row r="10" spans="1:13" x14ac:dyDescent="0.2">
      <c r="C10" s="11" t="s">
        <v>130</v>
      </c>
      <c r="D10" s="11" t="s">
        <v>131</v>
      </c>
      <c r="E10" s="11" t="s">
        <v>134</v>
      </c>
      <c r="L10" s="2"/>
      <c r="M10" s="12" t="s">
        <v>151</v>
      </c>
    </row>
    <row r="11" spans="1:13" x14ac:dyDescent="0.2">
      <c r="A11" s="9" t="s">
        <v>128</v>
      </c>
      <c r="B11" s="9"/>
      <c r="C11" s="125" t="str">
        <f>"as of "&amp;TEXT($M$11,"m/d/yy")</f>
        <v>as of 11/30/23</v>
      </c>
      <c r="D11" s="125" t="s">
        <v>132</v>
      </c>
      <c r="E11" s="125" t="s">
        <v>133</v>
      </c>
      <c r="L11" s="2"/>
      <c r="M11" s="37">
        <f>'7.1'!$M$11</f>
        <v>45260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136</v>
      </c>
      <c r="C14" s="26">
        <f>'7.1'!C14</f>
        <v>3019446</v>
      </c>
      <c r="D14" s="133">
        <f>E14/C14</f>
        <v>1.9770576570481595</v>
      </c>
      <c r="E14" s="157">
        <f>'[2]Hurr Models'!L70</f>
        <v>5969618.8343434371</v>
      </c>
      <c r="L14" s="2"/>
    </row>
    <row r="15" spans="1:13" x14ac:dyDescent="0.2">
      <c r="A15" t="s">
        <v>137</v>
      </c>
      <c r="C15" s="26">
        <f>'7.1'!C15</f>
        <v>18080728</v>
      </c>
      <c r="D15" s="133">
        <f t="shared" ref="D15:D28" si="0">E15/C15</f>
        <v>1.6636024135133369</v>
      </c>
      <c r="E15" s="157">
        <f>'[2]Hurr Models'!L71</f>
        <v>30079142.738878168</v>
      </c>
      <c r="L15" s="2"/>
    </row>
    <row r="16" spans="1:13" x14ac:dyDescent="0.2">
      <c r="A16" t="s">
        <v>138</v>
      </c>
      <c r="C16" s="26">
        <f>'7.1'!C16</f>
        <v>1381279</v>
      </c>
      <c r="D16" s="133">
        <f t="shared" si="0"/>
        <v>3.1448234566640192</v>
      </c>
      <c r="E16" s="157">
        <f>'[2]Hurr Models'!L72</f>
        <v>4343878.59939742</v>
      </c>
      <c r="L16" s="2"/>
    </row>
    <row r="17" spans="1:18" x14ac:dyDescent="0.2">
      <c r="A17" t="s">
        <v>139</v>
      </c>
      <c r="C17" s="26">
        <f>'7.1'!C17</f>
        <v>2885907</v>
      </c>
      <c r="D17" s="133">
        <f t="shared" si="0"/>
        <v>1.4742384843414957</v>
      </c>
      <c r="E17" s="157">
        <f>'[2]Hurr Models'!L73</f>
        <v>4254515.1616305131</v>
      </c>
      <c r="L17" s="2"/>
    </row>
    <row r="18" spans="1:18" x14ac:dyDescent="0.2">
      <c r="A18" t="s">
        <v>140</v>
      </c>
      <c r="C18" s="26">
        <f>'7.1'!C18</f>
        <v>3031783</v>
      </c>
      <c r="D18" s="133">
        <f t="shared" si="0"/>
        <v>1.574374935066325</v>
      </c>
      <c r="E18" s="157">
        <f>'[2]Hurr Models'!L74</f>
        <v>4773163.163760188</v>
      </c>
      <c r="L18" s="2"/>
    </row>
    <row r="19" spans="1:18" x14ac:dyDescent="0.2">
      <c r="A19" t="s">
        <v>141</v>
      </c>
      <c r="C19" s="26">
        <f>'7.1'!C19</f>
        <v>32274036</v>
      </c>
      <c r="D19" s="133">
        <f t="shared" si="0"/>
        <v>2.3272233213834754</v>
      </c>
      <c r="E19" s="157">
        <f>'[2]Hurr Models'!L75</f>
        <v>75108889.254369855</v>
      </c>
      <c r="L19" s="2"/>
    </row>
    <row r="20" spans="1:18" x14ac:dyDescent="0.2">
      <c r="A20" t="s">
        <v>142</v>
      </c>
      <c r="C20" s="26">
        <f>'7.1'!C20</f>
        <v>1721743</v>
      </c>
      <c r="D20" s="133">
        <f t="shared" si="0"/>
        <v>3.2871262324849497</v>
      </c>
      <c r="E20" s="157">
        <f>'[2]Hurr Models'!L76</f>
        <v>5659586.580897335</v>
      </c>
      <c r="L20" s="2"/>
      <c r="R20" t="s">
        <v>369</v>
      </c>
    </row>
    <row r="21" spans="1:18" x14ac:dyDescent="0.2">
      <c r="A21" t="s">
        <v>143</v>
      </c>
      <c r="C21" s="26">
        <f>'7.1'!C21</f>
        <v>9595251</v>
      </c>
      <c r="D21" s="133">
        <f t="shared" si="0"/>
        <v>2.6522282261145</v>
      </c>
      <c r="E21" s="157">
        <f>'[2]Hurr Models'!L77</f>
        <v>25448795.538853381</v>
      </c>
      <c r="L21" s="2"/>
    </row>
    <row r="22" spans="1:18" x14ac:dyDescent="0.2">
      <c r="A22" t="s">
        <v>144</v>
      </c>
      <c r="C22" s="26">
        <f>'7.1'!C22</f>
        <v>6832</v>
      </c>
      <c r="D22" s="133">
        <f t="shared" si="0"/>
        <v>1.7880150120906031</v>
      </c>
      <c r="E22" s="157">
        <f>'[2]Hurr Models'!L78</f>
        <v>12215.718562603</v>
      </c>
      <c r="L22" s="2"/>
    </row>
    <row r="23" spans="1:18" x14ac:dyDescent="0.2">
      <c r="A23" t="s">
        <v>145</v>
      </c>
      <c r="B23" s="12"/>
      <c r="C23" s="26">
        <f>'7.1'!C23</f>
        <v>259620</v>
      </c>
      <c r="D23" s="133">
        <f t="shared" si="0"/>
        <v>1.1235294103671212</v>
      </c>
      <c r="E23" s="157">
        <f>'[2]Hurr Models'!L79</f>
        <v>291690.705519512</v>
      </c>
      <c r="L23" s="2"/>
    </row>
    <row r="24" spans="1:18" x14ac:dyDescent="0.2">
      <c r="A24" t="s">
        <v>146</v>
      </c>
      <c r="B24" s="12"/>
      <c r="C24" s="26">
        <f>'7.1'!C24</f>
        <v>1683218</v>
      </c>
      <c r="D24" s="133">
        <f t="shared" si="0"/>
        <v>2.5238745211594553</v>
      </c>
      <c r="E24" s="157">
        <f>'[2]Hurr Models'!L80</f>
        <v>4248231.0237569762</v>
      </c>
      <c r="L24" s="2"/>
    </row>
    <row r="25" spans="1:18" x14ac:dyDescent="0.2">
      <c r="A25" t="s">
        <v>147</v>
      </c>
      <c r="B25" s="12"/>
      <c r="C25" s="26">
        <f>'7.1'!C25</f>
        <v>14858281</v>
      </c>
      <c r="D25" s="133">
        <f t="shared" si="0"/>
        <v>1.7116360525396124</v>
      </c>
      <c r="E25" s="157">
        <f>'[2]Hurr Models'!L81</f>
        <v>25431969.438364323</v>
      </c>
      <c r="L25" s="2"/>
    </row>
    <row r="26" spans="1:18" x14ac:dyDescent="0.2">
      <c r="A26" t="s">
        <v>148</v>
      </c>
      <c r="C26" s="26">
        <f>'7.1'!C26</f>
        <v>120043</v>
      </c>
      <c r="D26" s="133">
        <f t="shared" si="0"/>
        <v>2.1416730535551394</v>
      </c>
      <c r="E26" s="157">
        <f>'[2]Hurr Models'!L82</f>
        <v>257092.8583679196</v>
      </c>
      <c r="L26" s="2"/>
    </row>
    <row r="27" spans="1:18" x14ac:dyDescent="0.2">
      <c r="A27" t="s">
        <v>149</v>
      </c>
      <c r="C27" s="26">
        <f>'7.1'!C27</f>
        <v>2873434</v>
      </c>
      <c r="D27" s="133">
        <f t="shared" si="0"/>
        <v>1.8657337374002303</v>
      </c>
      <c r="E27" s="157">
        <f>'[2]Hurr Models'!L83</f>
        <v>5361062.7559928931</v>
      </c>
      <c r="L27" s="2"/>
    </row>
    <row r="28" spans="1:18" x14ac:dyDescent="0.2">
      <c r="A28" t="s">
        <v>150</v>
      </c>
      <c r="C28" s="26">
        <f>'7.1'!C28</f>
        <v>110591</v>
      </c>
      <c r="D28" s="133">
        <f t="shared" si="0"/>
        <v>2.0250197215340306</v>
      </c>
      <c r="E28" s="157">
        <f>'[2]Hurr Models'!L84</f>
        <v>223948.95602416998</v>
      </c>
      <c r="L28" s="2"/>
    </row>
    <row r="29" spans="1:18" x14ac:dyDescent="0.2">
      <c r="A29" s="9"/>
      <c r="B29" s="24"/>
      <c r="C29" s="27"/>
      <c r="D29" s="134"/>
      <c r="E29" s="27"/>
      <c r="L29" s="2"/>
    </row>
    <row r="30" spans="1:18" x14ac:dyDescent="0.2">
      <c r="C30" s="19"/>
      <c r="D30" s="135"/>
      <c r="E30" s="12"/>
      <c r="L30" s="2"/>
    </row>
    <row r="31" spans="1:18" x14ac:dyDescent="0.2">
      <c r="A31" t="s">
        <v>9</v>
      </c>
      <c r="C31" s="26">
        <f>SUM(C14:C28)</f>
        <v>91902192</v>
      </c>
      <c r="D31" s="133">
        <f>E31/C31</f>
        <v>2.0833431408112517</v>
      </c>
      <c r="E31" s="26">
        <f>SUM(E14:E28)</f>
        <v>191463801.32871869</v>
      </c>
      <c r="L31" s="2"/>
    </row>
    <row r="32" spans="1:18" x14ac:dyDescent="0.2">
      <c r="L32" s="2"/>
    </row>
    <row r="33" spans="1:13" x14ac:dyDescent="0.2">
      <c r="A33" s="41" t="s">
        <v>106</v>
      </c>
      <c r="B33" t="str">
        <f>'7.1'!B33</f>
        <v>In-Force Premium as of 11/30/23 at Present Rates</v>
      </c>
      <c r="E33" s="26">
        <f>'7.1'!E33</f>
        <v>519593434</v>
      </c>
      <c r="L33" s="2"/>
      <c r="M33" s="47">
        <f>'7.1'!$M$33</f>
        <v>45291</v>
      </c>
    </row>
    <row r="34" spans="1:13" x14ac:dyDescent="0.2">
      <c r="A34" s="41" t="s">
        <v>110</v>
      </c>
      <c r="B34" t="s">
        <v>135</v>
      </c>
      <c r="E34" s="20">
        <f>ROUND(E31/E33,3)</f>
        <v>0.36799999999999999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C12&amp;" Provided by TWIA and geo-coded by CoreLogic RQE"</f>
        <v>(2) Provided by TWIA and geo-coded by CoreLogic RQE</v>
      </c>
      <c r="L38" s="2"/>
    </row>
    <row r="39" spans="1:13" x14ac:dyDescent="0.2">
      <c r="B39" s="12" t="str">
        <f>D12&amp;" = "&amp;E12&amp;" / "&amp;C12</f>
        <v>(3) = (4) / (2)</v>
      </c>
      <c r="L39" s="2"/>
    </row>
    <row r="40" spans="1:13" x14ac:dyDescent="0.2">
      <c r="B40" s="12" t="str">
        <f>E12&amp;" Provided by CoreLogic RQE"&amp;" using CoreLogic RQE v23 (versus CoreLogic RQE v21 for prior year results)"</f>
        <v>(4) Provided by CoreLogic RQE using CoreLogic RQE v23 (versus CoreLogic RQE v21 for prior year results)</v>
      </c>
      <c r="F40" s="42"/>
      <c r="G40" s="22"/>
      <c r="L40" s="2"/>
    </row>
    <row r="41" spans="1:13" x14ac:dyDescent="0.2">
      <c r="B41" s="12" t="str">
        <f>A33&amp;" "&amp;"Provided by TWIA"</f>
        <v>(5) Provided by TWIA</v>
      </c>
      <c r="L41" s="2"/>
    </row>
    <row r="42" spans="1:13" x14ac:dyDescent="0.2">
      <c r="B42" s="12" t="str">
        <f>A34&amp;" = "&amp;E12&amp;" Total / "&amp;A33&amp;""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>
    <tabColor rgb="FF00FF00"/>
  </sheetPr>
  <dimension ref="A1:P70"/>
  <sheetViews>
    <sheetView showGridLines="0" workbookViewId="0"/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6" x14ac:dyDescent="0.2">
      <c r="A1" s="8" t="str">
        <f>'1'!$A$1</f>
        <v>Texas Windstorm Insurance Association</v>
      </c>
      <c r="J1" s="7" t="s">
        <v>153</v>
      </c>
      <c r="K1" s="1"/>
      <c r="O1" t="s">
        <v>369</v>
      </c>
      <c r="P1" t="s">
        <v>380</v>
      </c>
    </row>
    <row r="2" spans="1:16" x14ac:dyDescent="0.2">
      <c r="A2" s="8" t="str">
        <f>'1'!$A$2</f>
        <v>Residential Property - Wind &amp; Hail</v>
      </c>
      <c r="J2" s="7"/>
      <c r="K2" s="2"/>
      <c r="O2" t="s">
        <v>369</v>
      </c>
      <c r="P2" t="s">
        <v>381</v>
      </c>
    </row>
    <row r="3" spans="1:16" x14ac:dyDescent="0.2">
      <c r="A3" s="8" t="str">
        <f>'1'!$A$3</f>
        <v>Rate Level Review</v>
      </c>
      <c r="K3" s="2"/>
      <c r="L3" t="s">
        <v>101</v>
      </c>
      <c r="M3" t="s">
        <v>102</v>
      </c>
    </row>
    <row r="4" spans="1:16" x14ac:dyDescent="0.2">
      <c r="A4" t="str">
        <f>"Texas Hurricanes "&amp;L4&amp;" - "&amp;YEAR(M4)</f>
        <v>Texas Hurricanes 1850 - 2023</v>
      </c>
      <c r="K4" s="2"/>
      <c r="L4" s="17">
        <v>1850</v>
      </c>
      <c r="M4" s="59">
        <v>45291</v>
      </c>
    </row>
    <row r="5" spans="1:16" x14ac:dyDescent="0.2">
      <c r="K5" s="2"/>
    </row>
    <row r="6" spans="1:16" x14ac:dyDescent="0.2">
      <c r="K6" s="2"/>
      <c r="L6" s="11" t="s">
        <v>101</v>
      </c>
      <c r="M6" s="11" t="s">
        <v>102</v>
      </c>
      <c r="N6" s="11" t="s">
        <v>105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  <c r="L7" s="113">
        <v>1966</v>
      </c>
      <c r="M7" s="113">
        <v>2023</v>
      </c>
      <c r="N7" s="11">
        <f>M7-L7+1</f>
        <v>58</v>
      </c>
    </row>
    <row r="8" spans="1:16" ht="12" thickTop="1" x14ac:dyDescent="0.2">
      <c r="K8" s="2"/>
    </row>
    <row r="9" spans="1:16" x14ac:dyDescent="0.2">
      <c r="B9" s="37"/>
      <c r="K9" s="2"/>
      <c r="L9" s="17"/>
    </row>
    <row r="10" spans="1:16" x14ac:dyDescent="0.2">
      <c r="A10" s="10" t="s">
        <v>270</v>
      </c>
      <c r="E10" s="10" t="s">
        <v>270</v>
      </c>
      <c r="K10" s="2"/>
    </row>
    <row r="11" spans="1:16" x14ac:dyDescent="0.2">
      <c r="A11" s="125" t="s">
        <v>53</v>
      </c>
      <c r="B11" s="125" t="s">
        <v>271</v>
      </c>
      <c r="C11" s="125" t="s">
        <v>157</v>
      </c>
      <c r="E11" s="125" t="s">
        <v>53</v>
      </c>
      <c r="F11" s="125" t="s">
        <v>271</v>
      </c>
      <c r="G11" s="125" t="s">
        <v>157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6" x14ac:dyDescent="0.2">
      <c r="K13" s="2"/>
    </row>
    <row r="14" spans="1:16" x14ac:dyDescent="0.2">
      <c r="A14" s="161">
        <v>1851</v>
      </c>
      <c r="B14" s="192" t="s">
        <v>464</v>
      </c>
      <c r="C14" s="161"/>
      <c r="D14" s="161"/>
      <c r="E14" s="161">
        <v>1933</v>
      </c>
      <c r="F14" s="192" t="s">
        <v>465</v>
      </c>
      <c r="G14" s="161"/>
      <c r="K14" s="2"/>
      <c r="M14" s="47"/>
    </row>
    <row r="15" spans="1:16" x14ac:dyDescent="0.2">
      <c r="A15" s="161">
        <v>1854</v>
      </c>
      <c r="B15" s="192" t="s">
        <v>464</v>
      </c>
      <c r="C15" s="161"/>
      <c r="D15" s="161"/>
      <c r="E15" s="161">
        <v>1934</v>
      </c>
      <c r="F15" s="192" t="s">
        <v>466</v>
      </c>
      <c r="G15" s="161"/>
      <c r="K15" s="2"/>
      <c r="M15" s="47"/>
    </row>
    <row r="16" spans="1:16" x14ac:dyDescent="0.2">
      <c r="A16" s="161">
        <v>1854</v>
      </c>
      <c r="B16" s="192" t="s">
        <v>465</v>
      </c>
      <c r="C16" s="161" t="s">
        <v>467</v>
      </c>
      <c r="D16" s="161"/>
      <c r="E16" s="161">
        <v>1936</v>
      </c>
      <c r="F16" s="192" t="s">
        <v>464</v>
      </c>
      <c r="G16" s="161"/>
      <c r="K16" s="2"/>
      <c r="M16" s="47"/>
    </row>
    <row r="17" spans="1:13" x14ac:dyDescent="0.2">
      <c r="A17" s="161">
        <v>1865</v>
      </c>
      <c r="B17" s="192" t="s">
        <v>465</v>
      </c>
      <c r="C17" s="161" t="s">
        <v>468</v>
      </c>
      <c r="D17" s="161"/>
      <c r="E17" s="161">
        <v>1940</v>
      </c>
      <c r="F17" s="192" t="s">
        <v>469</v>
      </c>
      <c r="G17" s="161"/>
      <c r="K17" s="2"/>
      <c r="M17" s="47"/>
    </row>
    <row r="18" spans="1:13" x14ac:dyDescent="0.2">
      <c r="A18" s="161">
        <v>1866</v>
      </c>
      <c r="B18" s="192" t="s">
        <v>466</v>
      </c>
      <c r="C18" s="161"/>
      <c r="D18" s="161"/>
      <c r="E18" s="161">
        <v>1941</v>
      </c>
      <c r="F18" s="192" t="s">
        <v>465</v>
      </c>
      <c r="G18" s="161"/>
      <c r="K18" s="2"/>
      <c r="M18" s="47"/>
    </row>
    <row r="19" spans="1:13" x14ac:dyDescent="0.2">
      <c r="A19" s="161">
        <v>1867</v>
      </c>
      <c r="B19" s="192" t="s">
        <v>470</v>
      </c>
      <c r="C19" s="161" t="s">
        <v>471</v>
      </c>
      <c r="D19" s="161"/>
      <c r="E19" s="161">
        <v>1942</v>
      </c>
      <c r="F19" s="192" t="s">
        <v>469</v>
      </c>
      <c r="G19" s="161"/>
      <c r="K19" s="2"/>
      <c r="M19" s="47"/>
    </row>
    <row r="20" spans="1:13" x14ac:dyDescent="0.2">
      <c r="A20" s="161">
        <v>1869</v>
      </c>
      <c r="B20" s="192" t="s">
        <v>469</v>
      </c>
      <c r="C20" s="161" t="s">
        <v>472</v>
      </c>
      <c r="D20" s="161"/>
      <c r="E20" s="161">
        <v>1942</v>
      </c>
      <c r="F20" s="192" t="s">
        <v>469</v>
      </c>
      <c r="G20" s="161"/>
      <c r="K20" s="2"/>
      <c r="M20" s="47"/>
    </row>
    <row r="21" spans="1:13" x14ac:dyDescent="0.2">
      <c r="A21" s="161">
        <v>1875</v>
      </c>
      <c r="B21" s="192" t="s">
        <v>465</v>
      </c>
      <c r="C21" s="161"/>
      <c r="D21" s="161"/>
      <c r="E21" s="161">
        <v>1943</v>
      </c>
      <c r="F21" s="192" t="s">
        <v>466</v>
      </c>
      <c r="G21" s="161"/>
      <c r="K21" s="2"/>
      <c r="M21" s="47"/>
    </row>
    <row r="22" spans="1:13" x14ac:dyDescent="0.2">
      <c r="A22" s="161">
        <v>1879</v>
      </c>
      <c r="B22" s="192" t="s">
        <v>469</v>
      </c>
      <c r="C22" s="161"/>
      <c r="D22" s="161"/>
      <c r="E22" s="161">
        <v>1945</v>
      </c>
      <c r="F22" s="192" t="s">
        <v>469</v>
      </c>
      <c r="G22" s="161"/>
      <c r="K22" s="2"/>
      <c r="M22" s="47"/>
    </row>
    <row r="23" spans="1:13" x14ac:dyDescent="0.2">
      <c r="A23" s="161">
        <v>1880</v>
      </c>
      <c r="B23" s="192" t="s">
        <v>469</v>
      </c>
      <c r="C23" s="161"/>
      <c r="D23" s="161"/>
      <c r="E23" s="161">
        <v>1947</v>
      </c>
      <c r="F23" s="192" t="s">
        <v>469</v>
      </c>
      <c r="G23" s="161"/>
      <c r="K23" s="2"/>
      <c r="M23" s="47"/>
    </row>
    <row r="24" spans="1:13" x14ac:dyDescent="0.2">
      <c r="A24" s="161">
        <v>1882</v>
      </c>
      <c r="B24" s="192" t="s">
        <v>465</v>
      </c>
      <c r="C24" s="161"/>
      <c r="D24" s="161"/>
      <c r="E24" s="161">
        <v>1949</v>
      </c>
      <c r="F24" s="192" t="s">
        <v>470</v>
      </c>
      <c r="G24" s="161"/>
      <c r="K24" s="2"/>
      <c r="M24" s="47"/>
    </row>
    <row r="25" spans="1:13" x14ac:dyDescent="0.2">
      <c r="A25" s="161">
        <v>1886</v>
      </c>
      <c r="B25" s="192" t="s">
        <v>464</v>
      </c>
      <c r="C25" s="161"/>
      <c r="D25" s="161"/>
      <c r="E25" s="161">
        <v>1957</v>
      </c>
      <c r="F25" s="192" t="s">
        <v>464</v>
      </c>
      <c r="G25" s="161" t="s">
        <v>473</v>
      </c>
      <c r="K25" s="2"/>
      <c r="M25" s="47"/>
    </row>
    <row r="26" spans="1:13" x14ac:dyDescent="0.2">
      <c r="A26" s="161">
        <v>1886</v>
      </c>
      <c r="B26" s="192" t="s">
        <v>469</v>
      </c>
      <c r="C26" s="161" t="s">
        <v>474</v>
      </c>
      <c r="D26" s="161"/>
      <c r="E26" s="161">
        <v>1959</v>
      </c>
      <c r="F26" s="192" t="s">
        <v>466</v>
      </c>
      <c r="G26" s="161" t="s">
        <v>475</v>
      </c>
      <c r="K26" s="2"/>
      <c r="M26" s="47"/>
    </row>
    <row r="27" spans="1:13" x14ac:dyDescent="0.2">
      <c r="A27" s="161">
        <v>1886</v>
      </c>
      <c r="B27" s="192" t="s">
        <v>465</v>
      </c>
      <c r="C27" s="161"/>
      <c r="D27" s="161"/>
      <c r="E27" s="161">
        <v>1961</v>
      </c>
      <c r="F27" s="192" t="s">
        <v>465</v>
      </c>
      <c r="G27" s="161" t="s">
        <v>476</v>
      </c>
      <c r="K27" s="2"/>
      <c r="M27" s="47"/>
    </row>
    <row r="28" spans="1:13" x14ac:dyDescent="0.2">
      <c r="A28" s="161">
        <v>1886</v>
      </c>
      <c r="B28" s="192" t="s">
        <v>470</v>
      </c>
      <c r="C28" s="161"/>
      <c r="D28" s="161"/>
      <c r="E28" s="162">
        <v>1963</v>
      </c>
      <c r="F28" s="193" t="s">
        <v>465</v>
      </c>
      <c r="G28" s="162" t="s">
        <v>477</v>
      </c>
      <c r="K28" s="2"/>
      <c r="M28" s="47"/>
    </row>
    <row r="29" spans="1:13" x14ac:dyDescent="0.2">
      <c r="A29" s="161">
        <v>1887</v>
      </c>
      <c r="B29" s="192" t="s">
        <v>465</v>
      </c>
      <c r="C29" s="161"/>
      <c r="D29" s="161"/>
      <c r="E29" s="161">
        <v>1967</v>
      </c>
      <c r="F29" s="192" t="s">
        <v>465</v>
      </c>
      <c r="G29" s="161" t="s">
        <v>478</v>
      </c>
      <c r="K29" s="2"/>
      <c r="M29" s="47"/>
    </row>
    <row r="30" spans="1:13" x14ac:dyDescent="0.2">
      <c r="A30" s="161">
        <v>1888</v>
      </c>
      <c r="B30" s="192" t="s">
        <v>464</v>
      </c>
      <c r="C30" s="161"/>
      <c r="D30" s="161"/>
      <c r="E30" s="161">
        <v>1970</v>
      </c>
      <c r="F30" s="192" t="s">
        <v>469</v>
      </c>
      <c r="G30" s="161" t="s">
        <v>479</v>
      </c>
      <c r="K30" s="2"/>
      <c r="M30" s="47"/>
    </row>
    <row r="31" spans="1:13" x14ac:dyDescent="0.2">
      <c r="A31" s="161">
        <v>1891</v>
      </c>
      <c r="B31" s="192" t="s">
        <v>466</v>
      </c>
      <c r="C31" s="161"/>
      <c r="D31" s="161"/>
      <c r="E31" s="161">
        <v>1971</v>
      </c>
      <c r="F31" s="192" t="s">
        <v>465</v>
      </c>
      <c r="G31" s="161" t="s">
        <v>480</v>
      </c>
      <c r="K31" s="2"/>
      <c r="M31" s="47"/>
    </row>
    <row r="32" spans="1:13" x14ac:dyDescent="0.2">
      <c r="A32" s="161">
        <v>1895</v>
      </c>
      <c r="B32" s="192" t="s">
        <v>469</v>
      </c>
      <c r="C32" s="161"/>
      <c r="D32" s="161"/>
      <c r="E32" s="161">
        <v>1980</v>
      </c>
      <c r="F32" s="192" t="s">
        <v>469</v>
      </c>
      <c r="G32" s="161" t="s">
        <v>481</v>
      </c>
      <c r="K32" s="2"/>
      <c r="M32" s="47"/>
    </row>
    <row r="33" spans="1:13" x14ac:dyDescent="0.2">
      <c r="A33" s="161">
        <v>1897</v>
      </c>
      <c r="B33" s="192" t="s">
        <v>465</v>
      </c>
      <c r="C33" s="161"/>
      <c r="D33" s="161"/>
      <c r="E33" s="161">
        <v>1983</v>
      </c>
      <c r="F33" s="192" t="s">
        <v>469</v>
      </c>
      <c r="G33" s="161" t="s">
        <v>482</v>
      </c>
      <c r="K33" s="2"/>
      <c r="M33" s="47"/>
    </row>
    <row r="34" spans="1:13" x14ac:dyDescent="0.2">
      <c r="A34" s="161">
        <v>1900</v>
      </c>
      <c r="B34" s="192" t="s">
        <v>465</v>
      </c>
      <c r="C34" s="161" t="s">
        <v>471</v>
      </c>
      <c r="D34" s="161"/>
      <c r="E34" s="161">
        <v>1986</v>
      </c>
      <c r="F34" s="192" t="s">
        <v>464</v>
      </c>
      <c r="G34" s="161" t="s">
        <v>483</v>
      </c>
      <c r="K34" s="2"/>
      <c r="M34" s="47"/>
    </row>
    <row r="35" spans="1:13" x14ac:dyDescent="0.2">
      <c r="A35" s="161">
        <v>1909</v>
      </c>
      <c r="B35" s="192" t="s">
        <v>464</v>
      </c>
      <c r="C35" s="161"/>
      <c r="D35" s="161"/>
      <c r="E35" s="161">
        <v>1989</v>
      </c>
      <c r="F35" s="192" t="s">
        <v>469</v>
      </c>
      <c r="G35" s="161" t="s">
        <v>484</v>
      </c>
      <c r="K35" s="2"/>
      <c r="M35" s="47"/>
    </row>
    <row r="36" spans="1:13" x14ac:dyDescent="0.2">
      <c r="A36" s="161">
        <v>1909</v>
      </c>
      <c r="B36" s="192" t="s">
        <v>466</v>
      </c>
      <c r="C36" s="161" t="s">
        <v>485</v>
      </c>
      <c r="D36" s="161"/>
      <c r="E36" s="161">
        <v>1989</v>
      </c>
      <c r="F36" s="192" t="s">
        <v>470</v>
      </c>
      <c r="G36" s="161" t="s">
        <v>486</v>
      </c>
      <c r="K36" s="2"/>
      <c r="M36" s="47"/>
    </row>
    <row r="37" spans="1:13" x14ac:dyDescent="0.2">
      <c r="A37" s="161">
        <v>1909</v>
      </c>
      <c r="B37" s="192" t="s">
        <v>469</v>
      </c>
      <c r="C37" s="161"/>
      <c r="D37" s="161"/>
      <c r="E37" s="161">
        <v>1999</v>
      </c>
      <c r="F37" s="192" t="s">
        <v>469</v>
      </c>
      <c r="G37" s="161" t="s">
        <v>487</v>
      </c>
      <c r="K37" s="2"/>
      <c r="M37" s="47"/>
    </row>
    <row r="38" spans="1:13" x14ac:dyDescent="0.2">
      <c r="A38" s="161">
        <v>1910</v>
      </c>
      <c r="B38" s="192" t="s">
        <v>465</v>
      </c>
      <c r="C38" s="161"/>
      <c r="D38" s="161"/>
      <c r="E38" s="161">
        <v>2003</v>
      </c>
      <c r="F38" s="192" t="s">
        <v>466</v>
      </c>
      <c r="G38" s="161" t="s">
        <v>488</v>
      </c>
      <c r="K38" s="2"/>
      <c r="M38" s="47"/>
    </row>
    <row r="39" spans="1:13" x14ac:dyDescent="0.2">
      <c r="A39" s="161">
        <v>1912</v>
      </c>
      <c r="B39" s="192" t="s">
        <v>470</v>
      </c>
      <c r="C39" s="161"/>
      <c r="D39" s="161"/>
      <c r="E39" s="161">
        <v>2005</v>
      </c>
      <c r="F39" s="192" t="s">
        <v>465</v>
      </c>
      <c r="G39" s="161" t="s">
        <v>489</v>
      </c>
      <c r="K39" s="2"/>
      <c r="M39" s="47"/>
    </row>
    <row r="40" spans="1:13" x14ac:dyDescent="0.2">
      <c r="A40" s="161">
        <v>1913</v>
      </c>
      <c r="B40" s="192" t="s">
        <v>464</v>
      </c>
      <c r="C40" s="161"/>
      <c r="D40" s="161"/>
      <c r="E40" s="161">
        <v>2007</v>
      </c>
      <c r="F40" s="192" t="s">
        <v>465</v>
      </c>
      <c r="G40" s="161" t="s">
        <v>490</v>
      </c>
      <c r="K40" s="2"/>
      <c r="M40" s="47"/>
    </row>
    <row r="41" spans="1:13" x14ac:dyDescent="0.2">
      <c r="A41" s="161">
        <v>1915</v>
      </c>
      <c r="B41" s="192" t="s">
        <v>469</v>
      </c>
      <c r="C41" s="161" t="s">
        <v>471</v>
      </c>
      <c r="D41" s="161"/>
      <c r="E41" s="161">
        <v>2008</v>
      </c>
      <c r="F41" s="192" t="s">
        <v>466</v>
      </c>
      <c r="G41" s="161" t="s">
        <v>491</v>
      </c>
      <c r="K41" s="2"/>
      <c r="M41" s="47"/>
    </row>
    <row r="42" spans="1:13" x14ac:dyDescent="0.2">
      <c r="A42" s="161">
        <v>1916</v>
      </c>
      <c r="B42" s="192" t="s">
        <v>469</v>
      </c>
      <c r="C42" s="161"/>
      <c r="D42" s="161"/>
      <c r="E42" s="161">
        <v>2008</v>
      </c>
      <c r="F42" s="192" t="s">
        <v>465</v>
      </c>
      <c r="G42" s="161" t="s">
        <v>492</v>
      </c>
      <c r="K42" s="2"/>
      <c r="M42" s="47"/>
    </row>
    <row r="43" spans="1:13" x14ac:dyDescent="0.2">
      <c r="A43" s="161">
        <v>1918</v>
      </c>
      <c r="B43" s="192" t="s">
        <v>469</v>
      </c>
      <c r="C43" s="161"/>
      <c r="D43" s="161"/>
      <c r="E43" s="161">
        <v>2017</v>
      </c>
      <c r="F43" s="192" t="s">
        <v>469</v>
      </c>
      <c r="G43" s="161" t="s">
        <v>493</v>
      </c>
      <c r="K43" s="2"/>
      <c r="M43" s="47"/>
    </row>
    <row r="44" spans="1:13" x14ac:dyDescent="0.2">
      <c r="A44" s="161">
        <v>1919</v>
      </c>
      <c r="B44" s="192" t="s">
        <v>465</v>
      </c>
      <c r="C44" s="161"/>
      <c r="D44" s="161"/>
      <c r="E44" s="161">
        <v>2020</v>
      </c>
      <c r="F44" s="192" t="s">
        <v>466</v>
      </c>
      <c r="G44" s="161" t="s">
        <v>494</v>
      </c>
      <c r="K44" s="2"/>
      <c r="M44" s="47"/>
    </row>
    <row r="45" spans="1:13" x14ac:dyDescent="0.2">
      <c r="A45" s="161">
        <v>1921</v>
      </c>
      <c r="B45" s="192" t="s">
        <v>464</v>
      </c>
      <c r="C45" s="161"/>
      <c r="D45" s="161"/>
      <c r="E45" s="161">
        <v>2020</v>
      </c>
      <c r="F45" s="192" t="s">
        <v>469</v>
      </c>
      <c r="G45" s="161" t="s">
        <v>495</v>
      </c>
      <c r="K45" s="2"/>
      <c r="M45" s="47"/>
    </row>
    <row r="46" spans="1:13" x14ac:dyDescent="0.2">
      <c r="A46" s="161">
        <v>1929</v>
      </c>
      <c r="B46" s="192" t="s">
        <v>464</v>
      </c>
      <c r="C46" s="161"/>
      <c r="D46" s="161"/>
      <c r="E46" s="161">
        <v>2020</v>
      </c>
      <c r="F46" s="192" t="s">
        <v>470</v>
      </c>
      <c r="G46" s="161" t="s">
        <v>496</v>
      </c>
      <c r="K46" s="2"/>
      <c r="M46" s="47"/>
    </row>
    <row r="47" spans="1:13" x14ac:dyDescent="0.2">
      <c r="A47" s="161">
        <v>1932</v>
      </c>
      <c r="B47" s="192" t="s">
        <v>469</v>
      </c>
      <c r="C47" s="161" t="s">
        <v>497</v>
      </c>
      <c r="D47" s="161"/>
      <c r="E47" s="161">
        <v>2021</v>
      </c>
      <c r="F47" s="192" t="s">
        <v>465</v>
      </c>
      <c r="G47" s="161" t="s">
        <v>498</v>
      </c>
      <c r="K47" s="2"/>
      <c r="M47" s="47"/>
    </row>
    <row r="48" spans="1:13" x14ac:dyDescent="0.2">
      <c r="A48" s="161">
        <v>1933</v>
      </c>
      <c r="B48" s="192" t="s">
        <v>499</v>
      </c>
      <c r="C48" s="68"/>
      <c r="E48" s="68"/>
      <c r="F48" s="68"/>
      <c r="G48" s="68"/>
      <c r="K48" s="2"/>
      <c r="M48" s="47"/>
    </row>
    <row r="49" spans="1:13" x14ac:dyDescent="0.2">
      <c r="A49" s="9"/>
      <c r="B49" s="9"/>
      <c r="C49" s="9"/>
      <c r="D49" s="9"/>
      <c r="E49" s="91"/>
      <c r="F49" s="91"/>
      <c r="G49" s="91"/>
      <c r="K49" s="2"/>
      <c r="M49" s="47"/>
    </row>
    <row r="50" spans="1:13" x14ac:dyDescent="0.2">
      <c r="B50" s="42"/>
      <c r="C50" s="42"/>
      <c r="D50" s="42"/>
      <c r="E50" s="42"/>
      <c r="F50" s="22"/>
      <c r="K50" s="2"/>
    </row>
    <row r="51" spans="1:13" x14ac:dyDescent="0.2">
      <c r="A51" s="48" t="s">
        <v>158</v>
      </c>
      <c r="B51" s="48"/>
      <c r="C51" s="49" t="s">
        <v>159</v>
      </c>
      <c r="D51" s="49" t="s">
        <v>160</v>
      </c>
      <c r="E51" s="49" t="s">
        <v>212</v>
      </c>
      <c r="F51" s="49" t="s">
        <v>161</v>
      </c>
      <c r="G51" s="49"/>
      <c r="K51" s="2"/>
    </row>
    <row r="52" spans="1:13" x14ac:dyDescent="0.2">
      <c r="A52" s="80"/>
      <c r="C52" s="42"/>
      <c r="D52" s="42"/>
      <c r="E52" s="42"/>
      <c r="F52" s="42"/>
      <c r="K52" s="2"/>
    </row>
    <row r="53" spans="1:13" x14ac:dyDescent="0.2">
      <c r="A53" t="str">
        <f>E53&amp;"-Year"</f>
        <v>173-Year</v>
      </c>
      <c r="C53" s="12" t="str">
        <f>MONTH(M4+1)&amp;"/1/"&amp;YEAR(M4+1)-E53&amp;" - "&amp;TEXT(M4,"m/d/yyyy")</f>
        <v>1/1/1851 - 12/31/2023</v>
      </c>
      <c r="D53" s="12">
        <f>SUM(COUNTA(A14:A48),COUNTA(E14:E47))</f>
        <v>69</v>
      </c>
      <c r="E53" s="82">
        <f>YEAR($M$4)-$L$4</f>
        <v>173</v>
      </c>
      <c r="G53" s="92">
        <f>ROUND(D53/E53,3)</f>
        <v>0.39900000000000002</v>
      </c>
      <c r="K53" s="2"/>
    </row>
    <row r="54" spans="1:13" ht="12" thickBot="1" x14ac:dyDescent="0.25">
      <c r="A54" s="6"/>
      <c r="B54" s="6"/>
      <c r="C54" s="6"/>
      <c r="D54" s="6"/>
      <c r="E54" s="6"/>
      <c r="F54" s="6"/>
      <c r="G54" s="6"/>
      <c r="K54" s="2"/>
    </row>
    <row r="55" spans="1:13" ht="12" thickTop="1" x14ac:dyDescent="0.2">
      <c r="K55" s="2"/>
    </row>
    <row r="56" spans="1:13" x14ac:dyDescent="0.2">
      <c r="A56" t="s">
        <v>17</v>
      </c>
      <c r="K56" s="2"/>
      <c r="M56" s="47"/>
    </row>
    <row r="57" spans="1:13" x14ac:dyDescent="0.2">
      <c r="B57" s="132" t="str">
        <f>'[3]8'!$B$57</f>
        <v>(1), (2) from NOAA Technical Memorandum NWS-NHC-6, updated with actual experience through 2023</v>
      </c>
      <c r="K57" s="2"/>
      <c r="M57" s="47"/>
    </row>
    <row r="58" spans="1:13" x14ac:dyDescent="0.2">
      <c r="K58" s="2"/>
      <c r="M58" s="47"/>
    </row>
    <row r="59" spans="1:13" x14ac:dyDescent="0.2">
      <c r="K59" s="2"/>
      <c r="M59" s="47"/>
    </row>
    <row r="60" spans="1:13" x14ac:dyDescent="0.2">
      <c r="K60" s="2"/>
      <c r="M60" s="47"/>
    </row>
    <row r="61" spans="1:13" x14ac:dyDescent="0.2">
      <c r="K61" s="2"/>
      <c r="M61" s="47"/>
    </row>
    <row r="62" spans="1:13" x14ac:dyDescent="0.2">
      <c r="K62" s="2"/>
      <c r="M62" s="47"/>
    </row>
    <row r="63" spans="1:13" x14ac:dyDescent="0.2">
      <c r="D63" s="20"/>
      <c r="E63" s="20"/>
      <c r="F63" s="20"/>
      <c r="G63" s="20"/>
      <c r="H63" s="20"/>
      <c r="I63" s="20"/>
      <c r="K63" s="2"/>
    </row>
    <row r="64" spans="1:13" x14ac:dyDescent="0.2">
      <c r="F64" s="19"/>
      <c r="G64" s="19"/>
      <c r="H64" s="19"/>
      <c r="I64" s="19"/>
      <c r="K64" s="2"/>
    </row>
    <row r="65" spans="1:11" x14ac:dyDescent="0.2">
      <c r="F65" s="19"/>
      <c r="G65" s="19"/>
      <c r="H65" s="19"/>
      <c r="I65" s="19"/>
      <c r="K65" s="2"/>
    </row>
    <row r="66" spans="1:11" x14ac:dyDescent="0.2">
      <c r="C66" s="31"/>
      <c r="D66" s="31"/>
      <c r="E66" s="31"/>
      <c r="F66" s="22"/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>
    <tabColor rgb="FF00FF00"/>
  </sheetPr>
  <dimension ref="A1:P67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154</v>
      </c>
      <c r="K1" s="1"/>
      <c r="O1" t="s">
        <v>369</v>
      </c>
      <c r="P1" t="s">
        <v>406</v>
      </c>
    </row>
    <row r="2" spans="1:16" x14ac:dyDescent="0.2">
      <c r="A2" s="8" t="str">
        <f>'1'!$A$2</f>
        <v>Residential Property - Wind &amp; Hail</v>
      </c>
      <c r="B2" s="12"/>
      <c r="J2" s="7" t="s">
        <v>163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168</v>
      </c>
      <c r="B4" s="12"/>
      <c r="K4" s="2"/>
    </row>
    <row r="5" spans="1:16" x14ac:dyDescent="0.2">
      <c r="A5" t="s">
        <v>31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A8" t="s">
        <v>52</v>
      </c>
      <c r="K8" s="2"/>
    </row>
    <row r="9" spans="1:16" x14ac:dyDescent="0.2">
      <c r="A9" t="s">
        <v>53</v>
      </c>
      <c r="C9" s="194"/>
      <c r="D9" s="11" t="s">
        <v>36</v>
      </c>
      <c r="E9" s="11" t="s">
        <v>43</v>
      </c>
      <c r="K9" s="2"/>
      <c r="L9" s="17"/>
    </row>
    <row r="10" spans="1:16" x14ac:dyDescent="0.2">
      <c r="A10" t="s">
        <v>33</v>
      </c>
      <c r="C10" s="11" t="s">
        <v>288</v>
      </c>
      <c r="D10" s="11" t="s">
        <v>289</v>
      </c>
      <c r="E10" s="11" t="s">
        <v>41</v>
      </c>
      <c r="K10" s="2"/>
    </row>
    <row r="11" spans="1:16" x14ac:dyDescent="0.2">
      <c r="A11" s="9" t="str">
        <f>TEXT(L23,"m/d")</f>
        <v>9/30</v>
      </c>
      <c r="B11" s="9"/>
      <c r="C11" s="125" t="s">
        <v>43</v>
      </c>
      <c r="D11" s="125" t="s">
        <v>123</v>
      </c>
      <c r="E11" s="125" t="s">
        <v>123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0" si="0">TEXT(A15-1,"#")</f>
        <v>2014</v>
      </c>
      <c r="B14" s="23"/>
      <c r="C14" s="157">
        <f>'[2]TICO 2'!O28</f>
        <v>113521698</v>
      </c>
      <c r="D14" s="29">
        <f>'9.1d'!D14</f>
        <v>1.2455465141622082</v>
      </c>
      <c r="E14" s="26">
        <f t="shared" ref="E14:E22" si="1">ROUND(C14*D14,0)</f>
        <v>141396555</v>
      </c>
      <c r="K14" s="2"/>
      <c r="L14" s="28"/>
    </row>
    <row r="15" spans="1:16" x14ac:dyDescent="0.2">
      <c r="A15" t="str">
        <f t="shared" si="0"/>
        <v>2015</v>
      </c>
      <c r="B15" s="23"/>
      <c r="C15" s="157">
        <f>'[2]TICO 2'!O29</f>
        <v>121221015</v>
      </c>
      <c r="D15" s="29">
        <f>'9.1d'!D15</f>
        <v>1.1864644900727379</v>
      </c>
      <c r="E15" s="26">
        <f t="shared" si="1"/>
        <v>143824430</v>
      </c>
      <c r="K15" s="2"/>
      <c r="L15" s="28"/>
    </row>
    <row r="16" spans="1:16" x14ac:dyDescent="0.2">
      <c r="A16" t="str">
        <f t="shared" si="0"/>
        <v>2016</v>
      </c>
      <c r="B16" s="23"/>
      <c r="C16" s="157">
        <f>'[2]TICO 2'!O30</f>
        <v>123942872</v>
      </c>
      <c r="D16" s="29">
        <f>'9.1d'!D16</f>
        <v>1.1303877408726286</v>
      </c>
      <c r="E16" s="26">
        <f t="shared" si="1"/>
        <v>140103503</v>
      </c>
      <c r="K16" s="2"/>
      <c r="L16" s="28"/>
    </row>
    <row r="17" spans="1:12" x14ac:dyDescent="0.2">
      <c r="A17" t="str">
        <f t="shared" si="0"/>
        <v>2017</v>
      </c>
      <c r="B17" s="23"/>
      <c r="C17" s="157">
        <f>'[2]TICO 2'!O31</f>
        <v>120650271</v>
      </c>
      <c r="D17" s="29">
        <f>'9.1d'!D17</f>
        <v>1.1025000000000003</v>
      </c>
      <c r="E17" s="26">
        <f t="shared" si="1"/>
        <v>133016924</v>
      </c>
      <c r="K17" s="2"/>
      <c r="L17" s="28"/>
    </row>
    <row r="18" spans="1:12" x14ac:dyDescent="0.2">
      <c r="A18" t="str">
        <f t="shared" si="0"/>
        <v>2018</v>
      </c>
      <c r="B18" s="23"/>
      <c r="C18" s="157">
        <f>'[2]TICO 2'!O32</f>
        <v>112717188</v>
      </c>
      <c r="D18" s="29">
        <f>'9.1d'!D18</f>
        <v>1.0768211446107889</v>
      </c>
      <c r="E18" s="26">
        <f t="shared" si="1"/>
        <v>121376251</v>
      </c>
      <c r="K18" s="2"/>
      <c r="L18" s="28"/>
    </row>
    <row r="19" spans="1:12" x14ac:dyDescent="0.2">
      <c r="A19" t="str">
        <f t="shared" si="0"/>
        <v>2019</v>
      </c>
      <c r="B19" s="23"/>
      <c r="C19" s="157">
        <f>'[2]TICO 2'!O33</f>
        <v>109182096</v>
      </c>
      <c r="D19" s="29">
        <f>'9.1d'!D19</f>
        <v>1.0499999999999947</v>
      </c>
      <c r="E19" s="26">
        <f t="shared" si="1"/>
        <v>114641201</v>
      </c>
      <c r="K19" s="2"/>
      <c r="L19" s="28"/>
    </row>
    <row r="20" spans="1:12" x14ac:dyDescent="0.2">
      <c r="A20" t="str">
        <f t="shared" si="0"/>
        <v>2020</v>
      </c>
      <c r="B20" s="23"/>
      <c r="C20" s="157">
        <f>'[2]TICO 2'!O34</f>
        <v>108043628</v>
      </c>
      <c r="D20" s="29">
        <f>'9.1d'!D20</f>
        <v>1.0500000000000036</v>
      </c>
      <c r="E20" s="26">
        <f t="shared" si="1"/>
        <v>113445809</v>
      </c>
      <c r="K20" s="2"/>
    </row>
    <row r="21" spans="1:12" x14ac:dyDescent="0.2">
      <c r="A21" t="str">
        <f>TEXT(A22-1,"#")</f>
        <v>2021</v>
      </c>
      <c r="B21" s="23"/>
      <c r="C21" s="157">
        <f>'[2]TICO 2'!O35</f>
        <v>112324499</v>
      </c>
      <c r="D21" s="29">
        <f>'9.1d'!D21</f>
        <v>1.0500000000000056</v>
      </c>
      <c r="E21" s="26">
        <f t="shared" si="1"/>
        <v>117940724</v>
      </c>
      <c r="K21" s="2"/>
    </row>
    <row r="22" spans="1:12" x14ac:dyDescent="0.2">
      <c r="A22" t="str">
        <f>TEXT(A23-1,"#")</f>
        <v>2022</v>
      </c>
      <c r="B22" s="23"/>
      <c r="C22" s="157">
        <f>'[2]TICO 2'!O36</f>
        <v>126572677</v>
      </c>
      <c r="D22" s="29">
        <f>'9.1d'!D22</f>
        <v>1.0228262738748721</v>
      </c>
      <c r="E22" s="26">
        <f t="shared" si="1"/>
        <v>129461860</v>
      </c>
      <c r="K22" s="2"/>
      <c r="L22" s="28" t="s">
        <v>197</v>
      </c>
    </row>
    <row r="23" spans="1:12" x14ac:dyDescent="0.2">
      <c r="A23" t="str">
        <f>TEXT(YEAR(L23),"#")</f>
        <v>2023</v>
      </c>
      <c r="B23" s="23"/>
      <c r="C23" s="157">
        <f>'[2]TICO 2'!O37</f>
        <v>159933055</v>
      </c>
      <c r="D23" s="29">
        <f>'9.1d'!D23</f>
        <v>1</v>
      </c>
      <c r="E23" s="26">
        <f t="shared" ref="E23" si="2">ROUND(C23*D23,0)</f>
        <v>159933055</v>
      </c>
      <c r="H23" s="19"/>
      <c r="K23" s="2"/>
      <c r="L23" s="55">
        <f>'[2]TICO 2'!$E$1</f>
        <v>45199</v>
      </c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1208108999</v>
      </c>
      <c r="E26" s="19">
        <f>SUM(E14:E24)</f>
        <v>1315140312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  <c r="L32" s="55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23"/>
      <c r="K35" s="2"/>
    </row>
    <row r="36" spans="2:11" x14ac:dyDescent="0.2">
      <c r="B36" s="23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>
    <tabColor rgb="FF00FF00"/>
  </sheetPr>
  <dimension ref="A1:P63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154</v>
      </c>
      <c r="K1" s="1"/>
      <c r="O1" t="s">
        <v>369</v>
      </c>
      <c r="P1" t="s">
        <v>406</v>
      </c>
    </row>
    <row r="2" spans="1:16" x14ac:dyDescent="0.2">
      <c r="A2" s="8" t="str">
        <f>'1'!$A$2</f>
        <v>Residential Property - Wind &amp; Hail</v>
      </c>
      <c r="B2" s="12"/>
      <c r="J2" s="7" t="s">
        <v>165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168</v>
      </c>
      <c r="B4" s="12"/>
      <c r="K4" s="2"/>
    </row>
    <row r="5" spans="1:16" x14ac:dyDescent="0.2">
      <c r="A5" t="s">
        <v>44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A8" t="s">
        <v>52</v>
      </c>
      <c r="K8" s="2"/>
    </row>
    <row r="9" spans="1:16" x14ac:dyDescent="0.2">
      <c r="A9" t="s">
        <v>53</v>
      </c>
      <c r="C9" s="194"/>
      <c r="D9" s="11" t="s">
        <v>36</v>
      </c>
      <c r="E9" s="11" t="s">
        <v>43</v>
      </c>
      <c r="K9" s="2"/>
      <c r="L9" s="17"/>
    </row>
    <row r="10" spans="1:16" x14ac:dyDescent="0.2">
      <c r="A10" t="s">
        <v>33</v>
      </c>
      <c r="C10" s="11" t="s">
        <v>288</v>
      </c>
      <c r="D10" s="11" t="s">
        <v>289</v>
      </c>
      <c r="E10" s="11" t="s">
        <v>41</v>
      </c>
      <c r="K10" s="2"/>
    </row>
    <row r="11" spans="1:16" x14ac:dyDescent="0.2">
      <c r="A11" s="9" t="str">
        <f>TEXT(L21,"m/d")</f>
        <v>9/30</v>
      </c>
      <c r="B11" s="9"/>
      <c r="C11" s="125" t="s">
        <v>43</v>
      </c>
      <c r="D11" s="125" t="s">
        <v>123</v>
      </c>
      <c r="E11" s="125" t="s">
        <v>123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2014</v>
      </c>
      <c r="B14" s="23"/>
      <c r="C14" s="157">
        <f>'[2]TICO 2'!P28</f>
        <v>62828148</v>
      </c>
      <c r="D14" s="29">
        <f>'9.1d'!D14</f>
        <v>1.2455465141622082</v>
      </c>
      <c r="E14" s="26">
        <f t="shared" ref="E14:E22" si="1">ROUND(C14*D14,0)</f>
        <v>78255381</v>
      </c>
      <c r="K14" s="2"/>
      <c r="L14" s="28"/>
    </row>
    <row r="15" spans="1:16" x14ac:dyDescent="0.2">
      <c r="A15" t="str">
        <f t="shared" si="0"/>
        <v>2015</v>
      </c>
      <c r="B15" s="23"/>
      <c r="C15" s="157">
        <f>'[2]TICO 2'!P29</f>
        <v>68716114</v>
      </c>
      <c r="D15" s="29">
        <f>'9.1d'!D15</f>
        <v>1.1864644900727379</v>
      </c>
      <c r="E15" s="26">
        <f t="shared" si="1"/>
        <v>81529229</v>
      </c>
      <c r="K15" s="2"/>
      <c r="L15" s="28"/>
    </row>
    <row r="16" spans="1:16" x14ac:dyDescent="0.2">
      <c r="A16" t="str">
        <f t="shared" si="0"/>
        <v>2016</v>
      </c>
      <c r="B16" s="23"/>
      <c r="C16" s="157">
        <f>'[2]TICO 2'!P30</f>
        <v>71234774</v>
      </c>
      <c r="D16" s="29">
        <f>'9.1d'!D16</f>
        <v>1.1303877408726286</v>
      </c>
      <c r="E16" s="26">
        <f t="shared" si="1"/>
        <v>80522915</v>
      </c>
      <c r="K16" s="2"/>
      <c r="L16" s="28"/>
    </row>
    <row r="17" spans="1:12" x14ac:dyDescent="0.2">
      <c r="A17" t="str">
        <f t="shared" si="0"/>
        <v>2017</v>
      </c>
      <c r="B17" s="23"/>
      <c r="C17" s="157">
        <f>'[2]TICO 2'!P31</f>
        <v>69126281</v>
      </c>
      <c r="D17" s="29">
        <f>'9.1d'!D17</f>
        <v>1.1025000000000003</v>
      </c>
      <c r="E17" s="26">
        <f t="shared" si="1"/>
        <v>76211725</v>
      </c>
      <c r="K17" s="2"/>
      <c r="L17" s="28"/>
    </row>
    <row r="18" spans="1:12" x14ac:dyDescent="0.2">
      <c r="A18" t="str">
        <f t="shared" si="0"/>
        <v>2018</v>
      </c>
      <c r="B18" s="23"/>
      <c r="C18" s="157">
        <f>'[2]TICO 2'!P32</f>
        <v>63899693</v>
      </c>
      <c r="D18" s="29">
        <f>'9.1d'!D18</f>
        <v>1.0768211446107889</v>
      </c>
      <c r="E18" s="26">
        <f t="shared" si="1"/>
        <v>68808541</v>
      </c>
      <c r="K18" s="2"/>
      <c r="L18" s="28"/>
    </row>
    <row r="19" spans="1:12" x14ac:dyDescent="0.2">
      <c r="A19" t="str">
        <f t="shared" si="0"/>
        <v>2019</v>
      </c>
      <c r="B19" s="23"/>
      <c r="C19" s="157">
        <f>'[2]TICO 2'!P33</f>
        <v>59870593</v>
      </c>
      <c r="D19" s="29">
        <f>'9.1d'!D19</f>
        <v>1.0499999999999947</v>
      </c>
      <c r="E19" s="26">
        <f t="shared" si="1"/>
        <v>62864123</v>
      </c>
      <c r="K19" s="2"/>
      <c r="L19" s="28"/>
    </row>
    <row r="20" spans="1:12" x14ac:dyDescent="0.2">
      <c r="A20" t="str">
        <f t="shared" si="0"/>
        <v>2020</v>
      </c>
      <c r="B20" s="23"/>
      <c r="C20" s="157">
        <f>'[2]TICO 2'!P34</f>
        <v>57494711</v>
      </c>
      <c r="D20" s="29">
        <f>'9.1d'!D20</f>
        <v>1.0500000000000036</v>
      </c>
      <c r="E20" s="26">
        <f t="shared" si="1"/>
        <v>60369447</v>
      </c>
      <c r="K20" s="2"/>
      <c r="L20" s="28" t="s">
        <v>197</v>
      </c>
    </row>
    <row r="21" spans="1:12" x14ac:dyDescent="0.2">
      <c r="A21" t="str">
        <f t="shared" si="0"/>
        <v>2021</v>
      </c>
      <c r="B21" s="23"/>
      <c r="C21" s="157">
        <f>'[2]TICO 2'!P35</f>
        <v>57000700</v>
      </c>
      <c r="D21" s="29">
        <f>'9.1d'!D21</f>
        <v>1.0500000000000056</v>
      </c>
      <c r="E21" s="26">
        <f t="shared" si="1"/>
        <v>59850735</v>
      </c>
      <c r="K21" s="2"/>
      <c r="L21" s="37">
        <f>'9.1a'!$L$23</f>
        <v>45199</v>
      </c>
    </row>
    <row r="22" spans="1:12" x14ac:dyDescent="0.2">
      <c r="A22" t="str">
        <f t="shared" si="0"/>
        <v>2022</v>
      </c>
      <c r="B22" s="23"/>
      <c r="C22" s="157">
        <f>'[2]TICO 2'!P36</f>
        <v>61194933</v>
      </c>
      <c r="D22" s="29">
        <f>'9.1d'!D22</f>
        <v>1.0228262738748721</v>
      </c>
      <c r="E22" s="26">
        <f t="shared" si="1"/>
        <v>62591785</v>
      </c>
      <c r="K22" s="2"/>
      <c r="L22" s="37"/>
    </row>
    <row r="23" spans="1:12" x14ac:dyDescent="0.2">
      <c r="A23" s="23" t="str">
        <f>TEXT(YEAR($L$21),"#")</f>
        <v>2023</v>
      </c>
      <c r="B23" s="23"/>
      <c r="C23" s="157">
        <f>'[2]TICO 2'!P37</f>
        <v>76445090</v>
      </c>
      <c r="D23" s="29">
        <f>'9.1d'!D23</f>
        <v>1</v>
      </c>
      <c r="E23" s="26">
        <f t="shared" ref="E23" si="2">ROUND(C23*D23,0)</f>
        <v>76445090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647811037</v>
      </c>
      <c r="E26" s="19">
        <f>SUM(E14:E24)</f>
        <v>707448971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ht="12" thickBot="1" x14ac:dyDescent="0.25">
      <c r="K62" s="2"/>
    </row>
    <row r="63" spans="1:11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>
    <tabColor rgb="FF00FF00"/>
  </sheetPr>
  <dimension ref="A1:P67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154</v>
      </c>
      <c r="K1" s="1"/>
      <c r="O1" t="s">
        <v>369</v>
      </c>
      <c r="P1" t="s">
        <v>406</v>
      </c>
    </row>
    <row r="2" spans="1:16" x14ac:dyDescent="0.2">
      <c r="A2" s="8" t="str">
        <f>'1'!$A$2</f>
        <v>Residential Property - Wind &amp; Hail</v>
      </c>
      <c r="B2" s="12"/>
      <c r="J2" s="7" t="s">
        <v>166</v>
      </c>
      <c r="K2" s="2"/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168</v>
      </c>
      <c r="B4" s="12"/>
      <c r="K4" s="2"/>
    </row>
    <row r="5" spans="1:16" x14ac:dyDescent="0.2">
      <c r="A5" t="s">
        <v>46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K7" s="2"/>
    </row>
    <row r="8" spans="1:16" ht="12" thickTop="1" x14ac:dyDescent="0.2">
      <c r="A8" t="s">
        <v>52</v>
      </c>
      <c r="D8" s="23"/>
      <c r="K8" s="2"/>
    </row>
    <row r="9" spans="1:16" x14ac:dyDescent="0.2">
      <c r="A9" t="s">
        <v>53</v>
      </c>
      <c r="C9" s="194"/>
      <c r="D9" s="11" t="s">
        <v>36</v>
      </c>
      <c r="E9" s="11" t="s">
        <v>43</v>
      </c>
      <c r="K9" s="2"/>
      <c r="L9" s="17"/>
    </row>
    <row r="10" spans="1:16" x14ac:dyDescent="0.2">
      <c r="A10" t="s">
        <v>33</v>
      </c>
      <c r="C10" s="11" t="s">
        <v>288</v>
      </c>
      <c r="D10" s="11" t="s">
        <v>289</v>
      </c>
      <c r="E10" s="11" t="s">
        <v>41</v>
      </c>
      <c r="K10" s="2"/>
    </row>
    <row r="11" spans="1:16" x14ac:dyDescent="0.2">
      <c r="A11" s="9" t="str">
        <f>TEXT(L21,"m/d")</f>
        <v>9/30</v>
      </c>
      <c r="B11" s="9"/>
      <c r="C11" s="125" t="s">
        <v>43</v>
      </c>
      <c r="D11" s="125" t="s">
        <v>123</v>
      </c>
      <c r="E11" s="125" t="s">
        <v>123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D13" s="11"/>
      <c r="K13" s="2"/>
    </row>
    <row r="14" spans="1:16" x14ac:dyDescent="0.2">
      <c r="A14" t="str">
        <f t="shared" ref="A14:A22" si="0">TEXT(A15-1,"#")</f>
        <v>2014</v>
      </c>
      <c r="B14" s="23"/>
      <c r="C14" s="157">
        <f>'[2]TICO 2'!Q28</f>
        <v>187152484</v>
      </c>
      <c r="D14" s="29">
        <f>'9.1d'!D14</f>
        <v>1.2455465141622082</v>
      </c>
      <c r="E14" s="26">
        <f t="shared" ref="E14:E21" si="1">ROUND(C14*D14,0)</f>
        <v>233107124</v>
      </c>
      <c r="K14" s="2"/>
      <c r="L14" s="28"/>
    </row>
    <row r="15" spans="1:16" x14ac:dyDescent="0.2">
      <c r="A15" t="str">
        <f t="shared" si="0"/>
        <v>2015</v>
      </c>
      <c r="B15" s="23"/>
      <c r="C15" s="157">
        <f>'[2]TICO 2'!Q29</f>
        <v>200595693</v>
      </c>
      <c r="D15" s="29">
        <f>'9.1d'!D15</f>
        <v>1.1864644900727379</v>
      </c>
      <c r="E15" s="26">
        <f t="shared" si="1"/>
        <v>237999667</v>
      </c>
      <c r="K15" s="2"/>
      <c r="L15" s="28"/>
    </row>
    <row r="16" spans="1:16" x14ac:dyDescent="0.2">
      <c r="A16" t="str">
        <f t="shared" si="0"/>
        <v>2016</v>
      </c>
      <c r="B16" s="23"/>
      <c r="C16" s="157">
        <f>'[2]TICO 2'!Q30</f>
        <v>200978477</v>
      </c>
      <c r="D16" s="29">
        <f>'9.1d'!D16</f>
        <v>1.1303877408726286</v>
      </c>
      <c r="E16" s="26">
        <f t="shared" si="1"/>
        <v>227183607</v>
      </c>
      <c r="K16" s="2"/>
      <c r="L16" s="28"/>
    </row>
    <row r="17" spans="1:12" x14ac:dyDescent="0.2">
      <c r="A17" t="str">
        <f t="shared" si="0"/>
        <v>2017</v>
      </c>
      <c r="B17" s="23"/>
      <c r="C17" s="157">
        <f>'[2]TICO 2'!Q31</f>
        <v>188554673</v>
      </c>
      <c r="D17" s="29">
        <f>'9.1d'!D17</f>
        <v>1.1025000000000003</v>
      </c>
      <c r="E17" s="26">
        <f t="shared" si="1"/>
        <v>207881527</v>
      </c>
      <c r="K17" s="2"/>
      <c r="L17" s="28"/>
    </row>
    <row r="18" spans="1:12" x14ac:dyDescent="0.2">
      <c r="A18" t="str">
        <f t="shared" si="0"/>
        <v>2018</v>
      </c>
      <c r="B18" s="23"/>
      <c r="C18" s="157">
        <f>'[2]TICO 2'!Q32</f>
        <v>166829909</v>
      </c>
      <c r="D18" s="29">
        <f>'9.1d'!D18</f>
        <v>1.0768211446107889</v>
      </c>
      <c r="E18" s="26">
        <f t="shared" si="1"/>
        <v>179645974</v>
      </c>
      <c r="K18" s="2"/>
      <c r="L18" s="28"/>
    </row>
    <row r="19" spans="1:12" x14ac:dyDescent="0.2">
      <c r="A19" t="str">
        <f t="shared" si="0"/>
        <v>2019</v>
      </c>
      <c r="B19" s="23"/>
      <c r="C19" s="157">
        <f>'[2]TICO 2'!Q33</f>
        <v>151980115</v>
      </c>
      <c r="D19" s="29">
        <f>'9.1d'!D19</f>
        <v>1.0499999999999947</v>
      </c>
      <c r="E19" s="26">
        <f t="shared" si="1"/>
        <v>159579121</v>
      </c>
      <c r="K19" s="2"/>
      <c r="L19" s="28"/>
    </row>
    <row r="20" spans="1:12" x14ac:dyDescent="0.2">
      <c r="A20" t="str">
        <f t="shared" si="0"/>
        <v>2020</v>
      </c>
      <c r="B20" s="23"/>
      <c r="C20" s="157">
        <f>'[2]TICO 2'!Q34</f>
        <v>141633299</v>
      </c>
      <c r="D20" s="29">
        <f>'9.1d'!D20</f>
        <v>1.0500000000000036</v>
      </c>
      <c r="E20" s="26">
        <f t="shared" si="1"/>
        <v>148714964</v>
      </c>
      <c r="K20" s="2"/>
      <c r="L20" s="28" t="s">
        <v>197</v>
      </c>
    </row>
    <row r="21" spans="1:12" x14ac:dyDescent="0.2">
      <c r="A21" t="str">
        <f t="shared" si="0"/>
        <v>2021</v>
      </c>
      <c r="B21" s="23"/>
      <c r="C21" s="157">
        <f>'[2]TICO 2'!Q35</f>
        <v>140039840</v>
      </c>
      <c r="D21" s="29">
        <f>'9.1d'!D21</f>
        <v>1.0500000000000056</v>
      </c>
      <c r="E21" s="26">
        <f t="shared" si="1"/>
        <v>147041832</v>
      </c>
      <c r="K21" s="2"/>
      <c r="L21" s="37">
        <f>'9.1a'!$L$23</f>
        <v>45199</v>
      </c>
    </row>
    <row r="22" spans="1:12" x14ac:dyDescent="0.2">
      <c r="A22" t="str">
        <f t="shared" si="0"/>
        <v>2022</v>
      </c>
      <c r="B22" s="23"/>
      <c r="C22" s="157">
        <f>'[2]TICO 2'!Q36</f>
        <v>153747607</v>
      </c>
      <c r="D22" s="29">
        <f>'9.1d'!D22</f>
        <v>1.0228262738748721</v>
      </c>
      <c r="E22" s="26">
        <f>ROUND(C22*D22,0)</f>
        <v>157257092</v>
      </c>
      <c r="K22" s="2"/>
      <c r="L22" s="37"/>
    </row>
    <row r="23" spans="1:12" x14ac:dyDescent="0.2">
      <c r="A23" s="23" t="str">
        <f>TEXT(YEAR($L$21),"#")</f>
        <v>2023</v>
      </c>
      <c r="B23" s="23"/>
      <c r="C23" s="157">
        <f>'[2]TICO 2'!Q37</f>
        <v>211507410</v>
      </c>
      <c r="D23" s="29">
        <f>'9.1d'!D23</f>
        <v>1</v>
      </c>
      <c r="E23" s="26">
        <f>ROUND(C23*D23,0)</f>
        <v>211507410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1743019507</v>
      </c>
      <c r="E26" s="19">
        <f>SUM(E14:E24)</f>
        <v>1909918318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>
    <tabColor rgb="FF00FF00"/>
  </sheetPr>
  <dimension ref="A1:P67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154</v>
      </c>
      <c r="K1" s="1"/>
      <c r="M1" s="167" t="s">
        <v>363</v>
      </c>
      <c r="O1" t="s">
        <v>369</v>
      </c>
      <c r="P1" t="s">
        <v>406</v>
      </c>
    </row>
    <row r="2" spans="1:16" x14ac:dyDescent="0.2">
      <c r="A2" s="8" t="str">
        <f>'1'!$A$2</f>
        <v>Residential Property - Wind &amp; Hail</v>
      </c>
      <c r="B2" s="12"/>
      <c r="J2" s="7" t="s">
        <v>167</v>
      </c>
      <c r="K2" s="2"/>
      <c r="O2" t="s">
        <v>369</v>
      </c>
      <c r="P2" t="s">
        <v>407</v>
      </c>
    </row>
    <row r="3" spans="1:16" x14ac:dyDescent="0.2">
      <c r="A3" s="8" t="str">
        <f>'1'!$A$3</f>
        <v>Rate Level Review</v>
      </c>
      <c r="B3" s="12"/>
      <c r="K3" s="2"/>
    </row>
    <row r="4" spans="1:16" x14ac:dyDescent="0.2">
      <c r="A4" t="s">
        <v>168</v>
      </c>
      <c r="B4" s="12"/>
      <c r="K4" s="2"/>
    </row>
    <row r="5" spans="1:16" x14ac:dyDescent="0.2">
      <c r="A5" t="s">
        <v>49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104"/>
      <c r="E7" s="6"/>
      <c r="K7" s="2"/>
    </row>
    <row r="8" spans="1:16" ht="12" thickTop="1" x14ac:dyDescent="0.2">
      <c r="A8" t="s">
        <v>52</v>
      </c>
      <c r="D8" s="23"/>
      <c r="K8" s="2"/>
    </row>
    <row r="9" spans="1:16" x14ac:dyDescent="0.2">
      <c r="A9" t="s">
        <v>53</v>
      </c>
      <c r="C9" s="194"/>
      <c r="D9" s="11" t="s">
        <v>36</v>
      </c>
      <c r="E9" s="11" t="s">
        <v>43</v>
      </c>
      <c r="K9" s="2"/>
      <c r="L9" s="17"/>
    </row>
    <row r="10" spans="1:16" x14ac:dyDescent="0.2">
      <c r="A10" t="s">
        <v>33</v>
      </c>
      <c r="C10" s="11" t="s">
        <v>288</v>
      </c>
      <c r="D10" s="11" t="s">
        <v>289</v>
      </c>
      <c r="E10" s="11" t="s">
        <v>41</v>
      </c>
      <c r="K10" s="2"/>
    </row>
    <row r="11" spans="1:16" x14ac:dyDescent="0.2">
      <c r="A11" s="9" t="str">
        <f>TEXT(L21,"m/d")</f>
        <v>9/30</v>
      </c>
      <c r="B11" s="9"/>
      <c r="C11" s="125" t="s">
        <v>43</v>
      </c>
      <c r="D11" s="125" t="s">
        <v>123</v>
      </c>
      <c r="E11" s="125" t="s">
        <v>123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6" x14ac:dyDescent="0.2">
      <c r="K13" s="2"/>
    </row>
    <row r="14" spans="1:16" x14ac:dyDescent="0.2">
      <c r="A14" t="str">
        <f t="shared" ref="A14:A22" si="0">TEXT(A15-1,"#")</f>
        <v>2014</v>
      </c>
      <c r="B14" s="23"/>
      <c r="C14" s="157">
        <f>'[2]TICO 2'!R28</f>
        <v>3920276</v>
      </c>
      <c r="D14" s="97">
        <f>'9.2'!D20</f>
        <v>1.2455465141622082</v>
      </c>
      <c r="E14" s="26">
        <f t="shared" ref="E14:E21" si="1">ROUND(C14*D14,0)</f>
        <v>4882886</v>
      </c>
      <c r="K14" s="2"/>
      <c r="L14" s="28"/>
    </row>
    <row r="15" spans="1:16" x14ac:dyDescent="0.2">
      <c r="A15" t="str">
        <f t="shared" si="0"/>
        <v>2015</v>
      </c>
      <c r="B15" s="23"/>
      <c r="C15" s="157">
        <f>'[2]TICO 2'!R29</f>
        <v>4202726</v>
      </c>
      <c r="D15" s="97">
        <f>'9.2'!D21</f>
        <v>1.1864644900727379</v>
      </c>
      <c r="E15" s="26">
        <f t="shared" si="1"/>
        <v>4986385</v>
      </c>
      <c r="K15" s="2"/>
      <c r="L15" s="28"/>
    </row>
    <row r="16" spans="1:16" x14ac:dyDescent="0.2">
      <c r="A16" t="str">
        <f t="shared" si="0"/>
        <v>2016</v>
      </c>
      <c r="B16" s="23"/>
      <c r="C16" s="157">
        <f>'[2]TICO 2'!R30</f>
        <v>4436708</v>
      </c>
      <c r="D16" s="97">
        <f>'9.2'!D22</f>
        <v>1.1303877408726286</v>
      </c>
      <c r="E16" s="26">
        <f t="shared" si="1"/>
        <v>5015200</v>
      </c>
      <c r="K16" s="2"/>
      <c r="L16" s="28"/>
    </row>
    <row r="17" spans="1:15" x14ac:dyDescent="0.2">
      <c r="A17" t="str">
        <f t="shared" si="0"/>
        <v>2017</v>
      </c>
      <c r="B17" s="23"/>
      <c r="C17" s="157">
        <f>'[2]TICO 2'!R31</f>
        <v>4435808</v>
      </c>
      <c r="D17" s="97">
        <f>'9.2'!D23</f>
        <v>1.1025000000000003</v>
      </c>
      <c r="E17" s="26">
        <f t="shared" si="1"/>
        <v>4890478</v>
      </c>
      <c r="K17" s="2"/>
      <c r="L17" s="28"/>
    </row>
    <row r="18" spans="1:15" x14ac:dyDescent="0.2">
      <c r="A18" t="str">
        <f t="shared" si="0"/>
        <v>2018</v>
      </c>
      <c r="B18" s="23"/>
      <c r="C18" s="157">
        <f>'[2]TICO 2'!R32</f>
        <v>4301050</v>
      </c>
      <c r="D18" s="97">
        <f>'9.2'!D24</f>
        <v>1.0768211446107889</v>
      </c>
      <c r="E18" s="26">
        <f t="shared" si="1"/>
        <v>4631462</v>
      </c>
      <c r="K18" s="2"/>
      <c r="L18" s="28"/>
    </row>
    <row r="19" spans="1:15" x14ac:dyDescent="0.2">
      <c r="A19" t="str">
        <f t="shared" si="0"/>
        <v>2019</v>
      </c>
      <c r="B19" s="23"/>
      <c r="C19" s="157">
        <f>'[2]TICO 2'!R33</f>
        <v>4296061</v>
      </c>
      <c r="D19" s="97">
        <f>'9.2'!D25</f>
        <v>1.0499999999999947</v>
      </c>
      <c r="E19" s="26">
        <f t="shared" si="1"/>
        <v>4510864</v>
      </c>
      <c r="K19" s="2"/>
      <c r="L19" s="28"/>
    </row>
    <row r="20" spans="1:15" x14ac:dyDescent="0.2">
      <c r="A20" t="str">
        <f t="shared" si="0"/>
        <v>2020</v>
      </c>
      <c r="B20" s="23"/>
      <c r="C20" s="157">
        <f>'[2]TICO 2'!R34</f>
        <v>4367811</v>
      </c>
      <c r="D20" s="97">
        <f>'9.2'!D26</f>
        <v>1.0500000000000036</v>
      </c>
      <c r="E20" s="26">
        <f t="shared" si="1"/>
        <v>4586202</v>
      </c>
      <c r="K20" s="2"/>
      <c r="L20" s="28" t="s">
        <v>197</v>
      </c>
    </row>
    <row r="21" spans="1:15" x14ac:dyDescent="0.2">
      <c r="A21" t="str">
        <f t="shared" si="0"/>
        <v>2021</v>
      </c>
      <c r="B21" s="23"/>
      <c r="C21" s="157">
        <f>'[2]TICO 2'!R35</f>
        <v>4523216</v>
      </c>
      <c r="D21" s="97">
        <f>'9.2'!D27</f>
        <v>1.0500000000000056</v>
      </c>
      <c r="E21" s="26">
        <f t="shared" si="1"/>
        <v>4749377</v>
      </c>
      <c r="K21" s="2"/>
      <c r="L21" s="37">
        <f>'9.1a'!$L$23</f>
        <v>45199</v>
      </c>
    </row>
    <row r="22" spans="1:15" x14ac:dyDescent="0.2">
      <c r="A22" t="str">
        <f t="shared" si="0"/>
        <v>2022</v>
      </c>
      <c r="B22" s="23"/>
      <c r="C22" s="157">
        <f>'[2]TICO 2'!R36</f>
        <v>4935851</v>
      </c>
      <c r="D22" s="97">
        <f>'9.2'!D28</f>
        <v>1.0228262738748721</v>
      </c>
      <c r="E22" s="26">
        <f>ROUND(C22*D22,0)</f>
        <v>5048518</v>
      </c>
      <c r="K22" s="2"/>
      <c r="L22" s="37"/>
      <c r="O22" s="19"/>
    </row>
    <row r="23" spans="1:15" x14ac:dyDescent="0.2">
      <c r="A23" s="23" t="str">
        <f>TEXT(YEAR($L$21),"#")</f>
        <v>2023</v>
      </c>
      <c r="B23" s="23"/>
      <c r="C23" s="157">
        <f>'[2]TICO 2'!R37</f>
        <v>5922961</v>
      </c>
      <c r="D23" s="97">
        <f>'9.2'!D29</f>
        <v>1</v>
      </c>
      <c r="E23" s="26">
        <f>ROUND(C23*D23,0)</f>
        <v>5922961</v>
      </c>
      <c r="K23" s="2"/>
      <c r="L23" s="37"/>
      <c r="O23" s="19"/>
    </row>
    <row r="24" spans="1:15" x14ac:dyDescent="0.2">
      <c r="A24" s="9"/>
      <c r="B24" s="24"/>
      <c r="C24" s="54"/>
      <c r="D24" s="106"/>
      <c r="E24" s="46"/>
      <c r="K24" s="2"/>
    </row>
    <row r="25" spans="1:15" x14ac:dyDescent="0.2">
      <c r="C25" s="19"/>
      <c r="K25" s="2"/>
    </row>
    <row r="26" spans="1:15" x14ac:dyDescent="0.2">
      <c r="A26" t="s">
        <v>9</v>
      </c>
      <c r="C26" s="19">
        <f>SUM(C14:C24)</f>
        <v>45342468</v>
      </c>
      <c r="E26" s="19">
        <f>SUM(E14:E24)</f>
        <v>49224333</v>
      </c>
      <c r="K26" s="2"/>
    </row>
    <row r="27" spans="1:15" ht="12" thickBot="1" x14ac:dyDescent="0.25">
      <c r="A27" s="6"/>
      <c r="B27" s="6"/>
      <c r="C27" s="6"/>
      <c r="D27" s="104"/>
      <c r="E27" s="6"/>
      <c r="K27" s="2"/>
    </row>
    <row r="28" spans="1:15" ht="12" thickTop="1" x14ac:dyDescent="0.2">
      <c r="K28" s="2"/>
    </row>
    <row r="29" spans="1:15" x14ac:dyDescent="0.2">
      <c r="A29" t="s">
        <v>17</v>
      </c>
      <c r="K29" s="2"/>
    </row>
    <row r="30" spans="1:15" x14ac:dyDescent="0.2">
      <c r="B30" s="12" t="str">
        <f>C12&amp;" Provided by TWIA"</f>
        <v>(2) Provided by TWIA</v>
      </c>
      <c r="K30" s="2"/>
    </row>
    <row r="31" spans="1:15" x14ac:dyDescent="0.2">
      <c r="B31" s="12" t="str">
        <f>D12&amp;" Provided by TWIA"</f>
        <v>(3) Provided by TWIA</v>
      </c>
      <c r="K31" s="2"/>
    </row>
    <row r="32" spans="1:15" x14ac:dyDescent="0.2">
      <c r="B32" s="12" t="str">
        <f>E12&amp;" = "&amp;C12&amp;" * "&amp;D12</f>
        <v>(4) = (2) * (3)</v>
      </c>
      <c r="K32" s="2"/>
    </row>
    <row r="33" spans="2:11" x14ac:dyDescent="0.2">
      <c r="B33" s="23"/>
      <c r="K33" s="2"/>
    </row>
    <row r="34" spans="2:11" x14ac:dyDescent="0.2">
      <c r="B34" s="23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10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>
    <tabColor rgb="FF00FF00"/>
  </sheetPr>
  <dimension ref="A1:O45"/>
  <sheetViews>
    <sheetView showGridLines="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  <col min="19" max="19" width="12" bestFit="1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154</v>
      </c>
      <c r="K1" s="1"/>
      <c r="N1" t="s">
        <v>369</v>
      </c>
      <c r="O1" t="s">
        <v>377</v>
      </c>
    </row>
    <row r="2" spans="1:15" x14ac:dyDescent="0.2">
      <c r="A2" s="8" t="str">
        <f>'1'!$A$2</f>
        <v>Residential Property - Wind &amp; Hail</v>
      </c>
      <c r="B2" s="12"/>
      <c r="J2" s="7" t="s">
        <v>81</v>
      </c>
      <c r="K2" s="2"/>
      <c r="N2" t="s">
        <v>369</v>
      </c>
      <c r="O2" t="s">
        <v>378</v>
      </c>
    </row>
    <row r="3" spans="1:15" x14ac:dyDescent="0.2">
      <c r="A3" s="8" t="str">
        <f>'1'!$A$3</f>
        <v>Rate Level Review</v>
      </c>
      <c r="B3" s="12"/>
      <c r="K3" s="2"/>
      <c r="N3" t="s">
        <v>369</v>
      </c>
      <c r="O3" t="s">
        <v>379</v>
      </c>
    </row>
    <row r="4" spans="1:15" x14ac:dyDescent="0.2">
      <c r="A4" t="s">
        <v>168</v>
      </c>
      <c r="B4" s="12"/>
      <c r="K4" s="2"/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104"/>
      <c r="E7" s="6"/>
      <c r="K7" s="2"/>
    </row>
    <row r="8" spans="1:15" ht="12" thickTop="1" x14ac:dyDescent="0.2">
      <c r="A8" t="s">
        <v>52</v>
      </c>
      <c r="K8" s="2"/>
    </row>
    <row r="9" spans="1:15" x14ac:dyDescent="0.2">
      <c r="A9" t="s">
        <v>53</v>
      </c>
      <c r="C9" s="194" t="s">
        <v>43</v>
      </c>
      <c r="D9" s="11" t="s">
        <v>36</v>
      </c>
      <c r="E9" s="11" t="s">
        <v>43</v>
      </c>
      <c r="K9" s="2"/>
    </row>
    <row r="10" spans="1:15" x14ac:dyDescent="0.2">
      <c r="A10" t="s">
        <v>33</v>
      </c>
      <c r="C10" s="11" t="s">
        <v>292</v>
      </c>
      <c r="D10" s="11" t="s">
        <v>289</v>
      </c>
      <c r="E10" s="11" t="s">
        <v>41</v>
      </c>
      <c r="K10" s="2"/>
    </row>
    <row r="11" spans="1:15" x14ac:dyDescent="0.2">
      <c r="A11" s="9" t="str">
        <f>TEXT('9.1d'!A11,"m/d")</f>
        <v>9/30</v>
      </c>
      <c r="B11" s="9"/>
      <c r="C11" s="125" t="s">
        <v>164</v>
      </c>
      <c r="D11" s="125" t="s">
        <v>123</v>
      </c>
      <c r="E11" s="125" t="s">
        <v>123</v>
      </c>
      <c r="K11" s="2"/>
    </row>
    <row r="12" spans="1:15" x14ac:dyDescent="0.2">
      <c r="A12" s="2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5" x14ac:dyDescent="0.2">
      <c r="K13" s="2"/>
    </row>
    <row r="14" spans="1:15" x14ac:dyDescent="0.2">
      <c r="A14" s="23">
        <v>2008</v>
      </c>
      <c r="B14" s="23"/>
      <c r="C14" s="157">
        <f>'[2]TWIA 5'!G302</f>
        <v>219412771.41374999</v>
      </c>
      <c r="D14" s="136">
        <f t="shared" ref="D14:D24" si="0">E14/C14</f>
        <v>1.7320113079002213</v>
      </c>
      <c r="E14" s="157">
        <f>'[2]TWIA 5'!O302</f>
        <v>380025401.1863414</v>
      </c>
      <c r="F14" s="141"/>
      <c r="K14" s="2"/>
    </row>
    <row r="15" spans="1:15" x14ac:dyDescent="0.2">
      <c r="A15" s="23">
        <v>2009</v>
      </c>
      <c r="B15" s="23"/>
      <c r="C15" s="157">
        <f>'[2]TWIA 5'!G303</f>
        <v>250693787.58916676</v>
      </c>
      <c r="D15" s="136">
        <f t="shared" si="0"/>
        <v>1.5736409509560276</v>
      </c>
      <c r="E15" s="157">
        <f>'[2]TWIA 5'!O303</f>
        <v>394502010.30058479</v>
      </c>
      <c r="F15" s="141"/>
      <c r="K15" s="2"/>
    </row>
    <row r="16" spans="1:15" x14ac:dyDescent="0.2">
      <c r="A16" s="23">
        <v>2010</v>
      </c>
      <c r="B16" s="23"/>
      <c r="C16" s="157">
        <f>'[2]TWIA 5'!G304</f>
        <v>273154916.13250017</v>
      </c>
      <c r="D16" s="136">
        <f t="shared" si="0"/>
        <v>1.4778548957967284</v>
      </c>
      <c r="E16" s="157">
        <f>'[2]TWIA 5'!O304</f>
        <v>403683330.11736012</v>
      </c>
      <c r="F16" s="141"/>
      <c r="K16" s="2"/>
    </row>
    <row r="17" spans="1:14" x14ac:dyDescent="0.2">
      <c r="A17" s="23">
        <v>2011</v>
      </c>
      <c r="B17" s="23"/>
      <c r="C17" s="157">
        <f>'[2]TWIA 5'!G305</f>
        <v>292239326.51041698</v>
      </c>
      <c r="D17" s="136">
        <f t="shared" si="0"/>
        <v>1.4413525093000297</v>
      </c>
      <c r="E17" s="157">
        <f>'[2]TWIA 5'!O305</f>
        <v>421219886.58194017</v>
      </c>
      <c r="F17" s="141"/>
      <c r="K17" s="2"/>
    </row>
    <row r="18" spans="1:14" x14ac:dyDescent="0.2">
      <c r="A18" s="23">
        <v>2012</v>
      </c>
      <c r="B18" s="23"/>
      <c r="C18" s="157">
        <f>'[2]TWIA 5'!G306</f>
        <v>323323868.9816668</v>
      </c>
      <c r="D18" s="136">
        <f t="shared" si="0"/>
        <v>1.3727418575616306</v>
      </c>
      <c r="E18" s="157">
        <f>'[2]TWIA 5'!O306</f>
        <v>443840208.49990654</v>
      </c>
      <c r="F18" s="141"/>
      <c r="K18" s="2"/>
    </row>
    <row r="19" spans="1:14" x14ac:dyDescent="0.2">
      <c r="A19" s="23">
        <v>2013</v>
      </c>
      <c r="B19" s="23"/>
      <c r="C19" s="157">
        <f>'[2]TWIA 5'!G307</f>
        <v>346955938.10791683</v>
      </c>
      <c r="D19" s="136">
        <f t="shared" si="0"/>
        <v>1.3075493593415137</v>
      </c>
      <c r="E19" s="157">
        <f>'[2]TWIA 5'!O307</f>
        <v>453662014.59274054</v>
      </c>
      <c r="F19" s="141"/>
      <c r="K19" s="2"/>
    </row>
    <row r="20" spans="1:14" x14ac:dyDescent="0.2">
      <c r="A20" s="23">
        <v>2014</v>
      </c>
      <c r="B20" s="23"/>
      <c r="C20" s="157">
        <f>'[2]TWIA 5'!G308</f>
        <v>372022088.97291565</v>
      </c>
      <c r="D20" s="136">
        <f t="shared" si="0"/>
        <v>1.2455465141622082</v>
      </c>
      <c r="E20" s="157">
        <f>'[2]TWIA 5'!O308</f>
        <v>463370816.11155796</v>
      </c>
      <c r="F20" s="141"/>
      <c r="K20" s="2"/>
      <c r="N20" s="19"/>
    </row>
    <row r="21" spans="1:14" x14ac:dyDescent="0.2">
      <c r="A21" s="23">
        <v>2015</v>
      </c>
      <c r="B21" s="23"/>
      <c r="C21" s="157">
        <f>'[2]TWIA 5'!G309</f>
        <v>403803905.31166744</v>
      </c>
      <c r="D21" s="136">
        <f t="shared" si="0"/>
        <v>1.1864644900727379</v>
      </c>
      <c r="E21" s="157">
        <f>'[2]TWIA 5'!O309</f>
        <v>479098994.60498762</v>
      </c>
      <c r="F21" s="141"/>
      <c r="K21" s="2"/>
      <c r="N21" s="19"/>
    </row>
    <row r="22" spans="1:14" x14ac:dyDescent="0.2">
      <c r="A22" s="23">
        <v>2016</v>
      </c>
      <c r="B22" s="23"/>
      <c r="C22" s="157">
        <f>'[2]TWIA 5'!G310</f>
        <v>405934589.57833338</v>
      </c>
      <c r="D22" s="136">
        <f t="shared" si="0"/>
        <v>1.1303877408726286</v>
      </c>
      <c r="E22" s="157">
        <f>'[2]TWIA 5'!O310</f>
        <v>458863483.65550995</v>
      </c>
      <c r="F22" s="141"/>
      <c r="K22" s="2"/>
      <c r="N22" s="19"/>
    </row>
    <row r="23" spans="1:14" x14ac:dyDescent="0.2">
      <c r="A23" s="23">
        <v>2017</v>
      </c>
      <c r="B23" s="23"/>
      <c r="C23" s="157">
        <f>'[2]TWIA 5'!G311</f>
        <v>376421384.29166651</v>
      </c>
      <c r="D23" s="136">
        <f t="shared" si="0"/>
        <v>1.1025000000000003</v>
      </c>
      <c r="E23" s="157">
        <f>'[2]TWIA 5'!O311</f>
        <v>415004576.18156242</v>
      </c>
      <c r="F23" s="141"/>
      <c r="K23" s="2"/>
      <c r="N23" s="19"/>
    </row>
    <row r="24" spans="1:14" x14ac:dyDescent="0.2">
      <c r="A24" s="23">
        <v>2018</v>
      </c>
      <c r="B24" s="23"/>
      <c r="C24" s="157">
        <f>'[2]TWIA 5'!G312</f>
        <v>341468875.45833349</v>
      </c>
      <c r="D24" s="136">
        <f t="shared" si="0"/>
        <v>1.0768211446107889</v>
      </c>
      <c r="E24" s="157">
        <f>'[2]TWIA 5'!O312</f>
        <v>367700905.3200016</v>
      </c>
      <c r="F24" s="141"/>
      <c r="K24" s="2"/>
      <c r="N24" s="19"/>
    </row>
    <row r="25" spans="1:14" x14ac:dyDescent="0.2">
      <c r="A25" s="23">
        <v>2019</v>
      </c>
      <c r="B25" s="23"/>
      <c r="C25" s="157">
        <f>'[2]TWIA 5'!G313</f>
        <v>322259385.91666698</v>
      </c>
      <c r="D25" s="136">
        <f t="shared" ref="D25:D27" si="1">E25/C25</f>
        <v>1.0499999999999947</v>
      </c>
      <c r="E25" s="157">
        <f>'[2]TWIA 5'!O313</f>
        <v>338372355.21249866</v>
      </c>
      <c r="F25" s="141"/>
      <c r="K25" s="2"/>
      <c r="N25" s="19"/>
    </row>
    <row r="26" spans="1:14" x14ac:dyDescent="0.2">
      <c r="A26" s="23">
        <v>2020</v>
      </c>
      <c r="B26" s="23"/>
      <c r="C26" s="157">
        <f>'[2]TWIA 5'!G314</f>
        <v>311420426.08333302</v>
      </c>
      <c r="D26" s="136">
        <f t="shared" si="1"/>
        <v>1.0500000000000036</v>
      </c>
      <c r="E26" s="157">
        <f>'[2]TWIA 5'!O314</f>
        <v>326991447.38750076</v>
      </c>
      <c r="F26" s="141"/>
      <c r="K26" s="2"/>
      <c r="N26" s="19"/>
    </row>
    <row r="27" spans="1:14" x14ac:dyDescent="0.2">
      <c r="A27" s="23">
        <v>2021</v>
      </c>
      <c r="B27" s="23"/>
      <c r="C27" s="157">
        <f>'[2]TWIA 5'!G315</f>
        <v>319441102.04166603</v>
      </c>
      <c r="D27" s="136">
        <f t="shared" si="1"/>
        <v>1.0500000000000056</v>
      </c>
      <c r="E27" s="157">
        <f>'[2]TWIA 5'!O315</f>
        <v>335413157.14375114</v>
      </c>
      <c r="F27" s="141"/>
      <c r="K27" s="2"/>
      <c r="N27" s="19"/>
    </row>
    <row r="28" spans="1:14" x14ac:dyDescent="0.2">
      <c r="A28" s="23">
        <v>2022</v>
      </c>
      <c r="B28" s="23"/>
      <c r="C28" s="157">
        <f>'[2]TWIA 5'!G316</f>
        <v>369077295</v>
      </c>
      <c r="D28" s="136">
        <f t="shared" ref="D28:D29" si="2">E28/C28</f>
        <v>1.0228262738748721</v>
      </c>
      <c r="E28" s="157">
        <f>'[2]TWIA 5'!O316</f>
        <v>377501954.41666698</v>
      </c>
      <c r="F28" s="141"/>
      <c r="K28" s="2"/>
      <c r="L28" s="52">
        <v>45291</v>
      </c>
      <c r="N28" s="19"/>
    </row>
    <row r="29" spans="1:14" x14ac:dyDescent="0.2">
      <c r="A29" s="23">
        <v>2023</v>
      </c>
      <c r="B29" s="23"/>
      <c r="C29" s="157">
        <f>'[2]TWIA 5'!G317</f>
        <v>477497545.37499905</v>
      </c>
      <c r="D29" s="136">
        <f t="shared" si="2"/>
        <v>1</v>
      </c>
      <c r="E29" s="157">
        <f>'[2]TWIA 5'!O317</f>
        <v>477497545.37499905</v>
      </c>
      <c r="F29" s="141"/>
      <c r="K29" s="2"/>
      <c r="L29" s="52"/>
      <c r="N29" s="19"/>
    </row>
    <row r="30" spans="1:14" x14ac:dyDescent="0.2">
      <c r="A30" s="146"/>
      <c r="B30" s="146"/>
      <c r="C30" s="153"/>
      <c r="D30" s="160"/>
      <c r="E30" s="146"/>
      <c r="K30" s="2"/>
    </row>
    <row r="31" spans="1:14" x14ac:dyDescent="0.2">
      <c r="A31" t="s">
        <v>9</v>
      </c>
      <c r="C31" s="19">
        <f>SUM(C14:C30)</f>
        <v>5405127206.7649984</v>
      </c>
      <c r="E31" s="19">
        <f>SUM(E14:E30)</f>
        <v>6536748086.6879091</v>
      </c>
      <c r="K31" s="2"/>
    </row>
    <row r="32" spans="1:14" ht="12" thickBot="1" x14ac:dyDescent="0.25">
      <c r="A32" s="6"/>
      <c r="B32" s="6"/>
      <c r="C32" s="6"/>
      <c r="D32" s="104"/>
      <c r="E32" s="6"/>
      <c r="K32" s="2"/>
    </row>
    <row r="33" spans="1:11" ht="12" thickTop="1" x14ac:dyDescent="0.2">
      <c r="K33" s="2"/>
    </row>
    <row r="34" spans="1:11" x14ac:dyDescent="0.2">
      <c r="A34" t="s">
        <v>17</v>
      </c>
      <c r="K34" s="2"/>
    </row>
    <row r="35" spans="1:11" x14ac:dyDescent="0.2">
      <c r="B35" s="12" t="str">
        <f>C12&amp;" Provided by TWIA"</f>
        <v>(2) Provided by TWIA</v>
      </c>
      <c r="K35" s="2"/>
    </row>
    <row r="36" spans="1:11" x14ac:dyDescent="0.2">
      <c r="B36" s="12" t="str">
        <f>D12&amp;" Based on historical rate changes"</f>
        <v>(3) Based on historical rate changes</v>
      </c>
      <c r="K36" s="2"/>
    </row>
    <row r="37" spans="1:11" x14ac:dyDescent="0.2">
      <c r="B37" s="12" t="str">
        <f>E12&amp;" = "&amp;C12&amp;" * "&amp;D12</f>
        <v>(4) = (2) * (3)</v>
      </c>
      <c r="K37" s="2"/>
    </row>
    <row r="38" spans="1:11" x14ac:dyDescent="0.2">
      <c r="B38" s="12"/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ht="12" thickBot="1" x14ac:dyDescent="0.25">
      <c r="K44" s="2"/>
    </row>
    <row r="45" spans="1:11" ht="12" thickBot="1" x14ac:dyDescent="0.25">
      <c r="A45" s="4"/>
      <c r="B45" s="5"/>
      <c r="C45" s="5"/>
      <c r="D45" s="105"/>
      <c r="E45" s="5"/>
      <c r="F45" s="5"/>
      <c r="G45" s="5"/>
      <c r="H45" s="5"/>
      <c r="I45" s="5"/>
      <c r="J45" s="5"/>
      <c r="K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tabColor rgb="FF00FF00"/>
    <pageSetUpPr fitToPage="1"/>
  </sheetPr>
  <dimension ref="A1:M68"/>
  <sheetViews>
    <sheetView showGridLines="0" workbookViewId="0"/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8" width="12.33203125" customWidth="1"/>
    <col min="9" max="10" width="11.33203125" customWidth="1"/>
    <col min="11" max="11" width="11" customWidth="1"/>
  </cols>
  <sheetData>
    <row r="1" spans="1:13" x14ac:dyDescent="0.2">
      <c r="A1" s="8" t="str">
        <f>'1'!$A$1</f>
        <v>Texas Windstorm Insurance Association</v>
      </c>
      <c r="K1" s="7" t="s">
        <v>156</v>
      </c>
      <c r="L1" s="1"/>
    </row>
    <row r="2" spans="1:13" x14ac:dyDescent="0.2">
      <c r="A2" s="8" t="str">
        <f>'1'!$A$2</f>
        <v>Residential Property - Wind &amp; Hail</v>
      </c>
      <c r="K2" s="7" t="s">
        <v>21</v>
      </c>
      <c r="L2" s="2"/>
    </row>
    <row r="3" spans="1:13" x14ac:dyDescent="0.2">
      <c r="A3" s="8" t="str">
        <f>'1'!$A$3</f>
        <v>Rate Level Review</v>
      </c>
      <c r="K3" s="7"/>
      <c r="L3" s="2"/>
    </row>
    <row r="4" spans="1:13" x14ac:dyDescent="0.2">
      <c r="A4" t="s">
        <v>442</v>
      </c>
      <c r="L4" s="2"/>
    </row>
    <row r="5" spans="1:13" x14ac:dyDescent="0.2"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L7" s="2"/>
    </row>
    <row r="8" spans="1:13" ht="12" thickTop="1" x14ac:dyDescent="0.2">
      <c r="L8" s="2"/>
    </row>
    <row r="9" spans="1:13" x14ac:dyDescent="0.2">
      <c r="L9" s="2"/>
      <c r="M9" s="17"/>
    </row>
    <row r="10" spans="1:13" x14ac:dyDescent="0.2">
      <c r="G10" s="11" t="s">
        <v>39</v>
      </c>
      <c r="L10" s="2"/>
      <c r="M10" t="s">
        <v>200</v>
      </c>
    </row>
    <row r="11" spans="1:13" x14ac:dyDescent="0.2">
      <c r="A11" s="9" t="s">
        <v>169</v>
      </c>
      <c r="B11" s="9"/>
      <c r="C11" s="9"/>
      <c r="D11" s="191">
        <f>E11-1</f>
        <v>2021</v>
      </c>
      <c r="E11" s="191">
        <f>F11-1</f>
        <v>2022</v>
      </c>
      <c r="F11" s="191">
        <f>YEAR(M11)</f>
        <v>2023</v>
      </c>
      <c r="G11" s="191">
        <f>F11+1</f>
        <v>2024</v>
      </c>
      <c r="H11" s="125" t="s">
        <v>70</v>
      </c>
      <c r="L11" s="2"/>
      <c r="M11" s="59">
        <f>'[3]10.1'!$M$11</f>
        <v>45291</v>
      </c>
    </row>
    <row r="12" spans="1:13" x14ac:dyDescent="0.2">
      <c r="A12" s="13"/>
      <c r="B12" s="13"/>
      <c r="C12" s="13"/>
      <c r="D12" s="11"/>
      <c r="E12" s="11"/>
      <c r="F12" s="11"/>
      <c r="G12" s="11"/>
      <c r="H12" s="11"/>
      <c r="L12" s="2"/>
    </row>
    <row r="13" spans="1:13" x14ac:dyDescent="0.2">
      <c r="L13" s="2"/>
    </row>
    <row r="14" spans="1:13" x14ac:dyDescent="0.2">
      <c r="A14" s="41" t="s">
        <v>170</v>
      </c>
      <c r="B14" t="s">
        <v>174</v>
      </c>
      <c r="D14" s="157">
        <f>'[3]10.1'!D14</f>
        <v>395112773</v>
      </c>
      <c r="E14" s="157">
        <f>'[3]10.1'!E14</f>
        <v>518299032</v>
      </c>
      <c r="F14" s="157">
        <f>'[3]10.1'!F14</f>
        <v>653043231</v>
      </c>
      <c r="G14" s="157">
        <f>'[3]10.1'!G14</f>
        <v>815861000</v>
      </c>
      <c r="L14" s="2"/>
      <c r="M14" s="29"/>
    </row>
    <row r="15" spans="1:13" x14ac:dyDescent="0.2">
      <c r="A15" s="41" t="s">
        <v>171</v>
      </c>
      <c r="B15" t="s">
        <v>173</v>
      </c>
      <c r="D15" s="157">
        <f>'[3]10.1'!D15</f>
        <v>378504197</v>
      </c>
      <c r="E15" s="157">
        <f>'[3]10.1'!E15</f>
        <v>443490204</v>
      </c>
      <c r="F15" s="157">
        <f>'[3]10.1'!F15</f>
        <v>589353024</v>
      </c>
      <c r="G15" s="157">
        <f>'[3]10.1'!G15</f>
        <v>743860000</v>
      </c>
      <c r="L15" s="2"/>
      <c r="M15" s="29"/>
    </row>
    <row r="16" spans="1:13" x14ac:dyDescent="0.2">
      <c r="L16" s="2"/>
      <c r="M16" s="29"/>
    </row>
    <row r="17" spans="1:13" x14ac:dyDescent="0.2">
      <c r="A17" s="41" t="s">
        <v>172</v>
      </c>
      <c r="B17" t="s">
        <v>175</v>
      </c>
      <c r="L17" s="2"/>
      <c r="M17" s="29"/>
    </row>
    <row r="18" spans="1:13" x14ac:dyDescent="0.2">
      <c r="C18" t="s">
        <v>176</v>
      </c>
      <c r="D18" s="157">
        <f>'[3]10.1'!D18</f>
        <v>63161029</v>
      </c>
      <c r="E18" s="157">
        <f>'[3]10.1'!E18</f>
        <v>82854389</v>
      </c>
      <c r="F18" s="157">
        <f>'[3]10.1'!F18</f>
        <v>104392398</v>
      </c>
      <c r="G18" s="157">
        <f>'[3]10.1'!G18</f>
        <v>130538000</v>
      </c>
      <c r="L18" s="2"/>
      <c r="M18" s="29"/>
    </row>
    <row r="19" spans="1:13" x14ac:dyDescent="0.2">
      <c r="C19" t="s">
        <v>177</v>
      </c>
      <c r="D19" s="20">
        <f>D18/D$14</f>
        <v>0.15985570023574003</v>
      </c>
      <c r="E19" s="20">
        <f>E18/E$14</f>
        <v>0.15985827463401475</v>
      </c>
      <c r="F19" s="20">
        <f>F18/F$14</f>
        <v>0.15985526385465285</v>
      </c>
      <c r="G19" s="20">
        <f>G18/G$14</f>
        <v>0.16000029416775652</v>
      </c>
      <c r="H19" s="159">
        <f>'[3]10.1'!H19</f>
        <v>0.16</v>
      </c>
      <c r="L19" s="2"/>
      <c r="M19" s="29"/>
    </row>
    <row r="20" spans="1:13" x14ac:dyDescent="0.2">
      <c r="L20" s="2"/>
      <c r="M20" s="29"/>
    </row>
    <row r="21" spans="1:13" x14ac:dyDescent="0.2">
      <c r="A21" s="41" t="s">
        <v>127</v>
      </c>
      <c r="B21" t="s">
        <v>178</v>
      </c>
      <c r="L21" s="2"/>
      <c r="M21" s="29"/>
    </row>
    <row r="22" spans="1:13" x14ac:dyDescent="0.2">
      <c r="C22" t="s">
        <v>176</v>
      </c>
      <c r="D22" s="157">
        <f>'[3]10.1'!D22</f>
        <v>0</v>
      </c>
      <c r="E22" s="157">
        <f>'[3]10.1'!E22</f>
        <v>0</v>
      </c>
      <c r="F22" s="157">
        <f>'[3]10.1'!F22</f>
        <v>0</v>
      </c>
      <c r="G22" s="157">
        <f>'[3]10.1'!G22</f>
        <v>0</v>
      </c>
      <c r="L22" s="2"/>
      <c r="M22" s="29"/>
    </row>
    <row r="23" spans="1:13" x14ac:dyDescent="0.2">
      <c r="C23" t="s">
        <v>177</v>
      </c>
      <c r="D23" s="20">
        <f>D22/D$14</f>
        <v>0</v>
      </c>
      <c r="E23" s="20">
        <f>E22/E$14</f>
        <v>0</v>
      </c>
      <c r="F23" s="20">
        <f>F22/F$14</f>
        <v>0</v>
      </c>
      <c r="G23" s="20">
        <f>G22/G$14</f>
        <v>0</v>
      </c>
      <c r="H23" s="159">
        <f>'[3]10.1'!H23</f>
        <v>0</v>
      </c>
      <c r="L23" s="2"/>
      <c r="M23" s="29"/>
    </row>
    <row r="24" spans="1:13" x14ac:dyDescent="0.2">
      <c r="L24" s="2"/>
    </row>
    <row r="25" spans="1:13" x14ac:dyDescent="0.2">
      <c r="A25" s="41" t="s">
        <v>106</v>
      </c>
      <c r="B25" t="s">
        <v>179</v>
      </c>
      <c r="L25" s="2"/>
    </row>
    <row r="26" spans="1:13" x14ac:dyDescent="0.2">
      <c r="C26" t="s">
        <v>180</v>
      </c>
      <c r="D26" s="157">
        <f>'[3]10.1'!D26</f>
        <v>29979903</v>
      </c>
      <c r="E26" s="157">
        <f>'[3]10.1'!E26</f>
        <v>35578580</v>
      </c>
      <c r="F26" s="157">
        <f>'[3]10.1'!F26</f>
        <v>36234634</v>
      </c>
      <c r="G26" s="157">
        <f>'[3]10.1'!G26</f>
        <v>40243000</v>
      </c>
      <c r="L26" s="2"/>
    </row>
    <row r="27" spans="1:13" x14ac:dyDescent="0.2">
      <c r="L27" s="2"/>
    </row>
    <row r="28" spans="1:13" x14ac:dyDescent="0.2">
      <c r="B28" t="s">
        <v>181</v>
      </c>
      <c r="L28" s="2"/>
    </row>
    <row r="29" spans="1:13" x14ac:dyDescent="0.2">
      <c r="C29" t="s">
        <v>182</v>
      </c>
      <c r="D29" s="157">
        <f>'[3]10.1'!D29</f>
        <v>0</v>
      </c>
      <c r="E29" s="157">
        <f>'[3]10.1'!E29</f>
        <v>0</v>
      </c>
      <c r="F29" s="157">
        <f>'[3]10.1'!F29</f>
        <v>0</v>
      </c>
      <c r="G29" s="157">
        <f>'[3]10.1'!G29</f>
        <v>0</v>
      </c>
      <c r="L29" s="2"/>
    </row>
    <row r="30" spans="1:13" x14ac:dyDescent="0.2">
      <c r="L30" s="2"/>
    </row>
    <row r="31" spans="1:13" x14ac:dyDescent="0.2">
      <c r="C31" t="s">
        <v>183</v>
      </c>
      <c r="D31" s="26">
        <f>D26-SUM(D29)</f>
        <v>29979903</v>
      </c>
      <c r="E31" s="26">
        <f>E26-SUM(E29)</f>
        <v>35578580</v>
      </c>
      <c r="F31" s="26">
        <f>F26-SUM(F29)</f>
        <v>36234634</v>
      </c>
      <c r="G31" s="26">
        <f>G26-SUM(G29)</f>
        <v>40243000</v>
      </c>
      <c r="L31" s="2"/>
    </row>
    <row r="32" spans="1:13" x14ac:dyDescent="0.2">
      <c r="C32" s="12" t="s">
        <v>177</v>
      </c>
      <c r="D32" s="20">
        <f>D31/D$14</f>
        <v>7.5876825677817311E-2</v>
      </c>
      <c r="E32" s="20">
        <f>E31/E$14</f>
        <v>6.8644889925243008E-2</v>
      </c>
      <c r="F32" s="20">
        <f>F31/F$14</f>
        <v>5.5485812087071464E-2</v>
      </c>
      <c r="G32" s="20">
        <f>G31/G$14</f>
        <v>4.9325804273031806E-2</v>
      </c>
      <c r="H32" s="159">
        <f>'[3]10.1'!H32</f>
        <v>5.1999999999999998E-2</v>
      </c>
      <c r="L32" s="2"/>
    </row>
    <row r="33" spans="1:12" x14ac:dyDescent="0.2">
      <c r="L33" s="2"/>
    </row>
    <row r="34" spans="1:12" x14ac:dyDescent="0.2">
      <c r="A34" s="41" t="s">
        <v>110</v>
      </c>
      <c r="B34" t="s">
        <v>184</v>
      </c>
      <c r="L34" s="2"/>
    </row>
    <row r="35" spans="1:12" x14ac:dyDescent="0.2">
      <c r="B35" s="23"/>
      <c r="C35" t="s">
        <v>176</v>
      </c>
      <c r="D35" s="157">
        <f>'[3]10.1'!D35</f>
        <v>7364210</v>
      </c>
      <c r="E35" s="157">
        <f>'[3]10.1'!E35</f>
        <v>9499183</v>
      </c>
      <c r="F35" s="157">
        <f>'[3]10.1'!F35</f>
        <v>11379394</v>
      </c>
      <c r="G35" s="157">
        <f>'[3]10.1'!G35</f>
        <v>14889000</v>
      </c>
      <c r="L35" s="2"/>
    </row>
    <row r="36" spans="1:12" x14ac:dyDescent="0.2">
      <c r="B36" s="23"/>
      <c r="C36" t="s">
        <v>177</v>
      </c>
      <c r="D36" s="20">
        <f>D35/D$14</f>
        <v>1.8638248376748882E-2</v>
      </c>
      <c r="E36" s="20">
        <f>E35/E$14</f>
        <v>1.8327610922491556E-2</v>
      </c>
      <c r="F36" s="20">
        <f>F35/F$14</f>
        <v>1.7425177170238521E-2</v>
      </c>
      <c r="G36" s="20">
        <f>G35/G$14</f>
        <v>1.8249432194944973E-2</v>
      </c>
      <c r="H36" s="159">
        <f>'[3]10.1'!H36</f>
        <v>1.7999999999999999E-2</v>
      </c>
      <c r="L36" s="2"/>
    </row>
    <row r="37" spans="1:12" x14ac:dyDescent="0.2">
      <c r="L37" s="2"/>
    </row>
    <row r="38" spans="1:12" x14ac:dyDescent="0.2">
      <c r="A38" s="41" t="s">
        <v>109</v>
      </c>
      <c r="B38" t="s">
        <v>185</v>
      </c>
      <c r="H38" s="20">
        <f>'10.2'!E26</f>
        <v>0.44004803413057403</v>
      </c>
      <c r="I38" s="20"/>
      <c r="L38" s="2"/>
    </row>
    <row r="39" spans="1:12" x14ac:dyDescent="0.2">
      <c r="L39" s="2"/>
    </row>
    <row r="40" spans="1:12" x14ac:dyDescent="0.2">
      <c r="A40" s="131" t="str">
        <f>'[4]11.1'!A40</f>
        <v>(8)</v>
      </c>
      <c r="B40" s="131" t="str">
        <f>'[4]11.1'!B40</f>
        <v>Outstanding Class 1 Public Security Repayment</v>
      </c>
      <c r="C40" s="131"/>
      <c r="D40" s="131"/>
      <c r="E40" s="131"/>
      <c r="F40" s="131"/>
      <c r="G40" s="131"/>
      <c r="H40" s="159">
        <f>'[3]10.1'!H40</f>
        <v>0</v>
      </c>
      <c r="L40" s="2"/>
    </row>
    <row r="41" spans="1:12" x14ac:dyDescent="0.2">
      <c r="L41" s="2"/>
    </row>
    <row r="42" spans="1:12" x14ac:dyDescent="0.2">
      <c r="A42" s="131" t="str">
        <f>'[4]11.1'!A42</f>
        <v>(9)</v>
      </c>
      <c r="B42" s="131" t="str">
        <f>'[4]11.1'!B42</f>
        <v>Total Fixed Expenses</v>
      </c>
      <c r="C42" s="131"/>
      <c r="D42" s="131"/>
      <c r="E42" s="131"/>
      <c r="F42" s="131"/>
      <c r="G42" s="131"/>
      <c r="H42" s="20">
        <f>H32+H38+H40</f>
        <v>0.49204803413057402</v>
      </c>
      <c r="I42" s="131"/>
      <c r="L42" s="2"/>
    </row>
    <row r="43" spans="1:12" x14ac:dyDescent="0.2">
      <c r="L43" s="2"/>
    </row>
    <row r="44" spans="1:12" x14ac:dyDescent="0.2">
      <c r="A44" s="131" t="str">
        <f>'[4]11.1'!A44</f>
        <v>(10)</v>
      </c>
      <c r="B44" s="131" t="str">
        <f>'[4]11.1'!B44</f>
        <v>Total Variable Expenses</v>
      </c>
      <c r="C44" s="131"/>
      <c r="D44" s="131"/>
      <c r="E44" s="131"/>
      <c r="F44" s="131"/>
      <c r="G44" s="131"/>
      <c r="H44" s="159">
        <f>'[3]10.1'!H44</f>
        <v>0.17799999999999999</v>
      </c>
      <c r="I44" s="131"/>
      <c r="L44" s="2"/>
    </row>
    <row r="45" spans="1:12" x14ac:dyDescent="0.2">
      <c r="H45" s="60"/>
      <c r="L45" s="2"/>
    </row>
    <row r="46" spans="1:12" x14ac:dyDescent="0.2">
      <c r="A46" s="131" t="str">
        <f>'[4]11.1'!A46</f>
        <v>(11)</v>
      </c>
      <c r="B46" s="131" t="str">
        <f>'[4]11.1'!B46</f>
        <v>CRTF Contribution &amp; UW Contingency &amp; Uncertainty</v>
      </c>
      <c r="C46" s="132"/>
      <c r="D46" s="132"/>
      <c r="E46" s="132"/>
      <c r="F46" s="132"/>
      <c r="G46" s="132"/>
      <c r="H46" s="159">
        <f>'[3]10.1'!H46</f>
        <v>0.05</v>
      </c>
      <c r="L46" s="2"/>
    </row>
    <row r="47" spans="1:12" x14ac:dyDescent="0.2">
      <c r="L47" s="2"/>
    </row>
    <row r="48" spans="1:12" x14ac:dyDescent="0.2">
      <c r="A48" s="41" t="s">
        <v>251</v>
      </c>
      <c r="B48" t="s">
        <v>298</v>
      </c>
      <c r="H48" s="20">
        <f>1-H44-H46</f>
        <v>0.77200000000000002</v>
      </c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L49" s="2"/>
    </row>
    <row r="50" spans="1:12" ht="12" thickTop="1" x14ac:dyDescent="0.2">
      <c r="L50" s="2"/>
    </row>
    <row r="51" spans="1:12" x14ac:dyDescent="0.2">
      <c r="A51" t="s">
        <v>17</v>
      </c>
      <c r="L51" s="2"/>
    </row>
    <row r="52" spans="1:12" x14ac:dyDescent="0.2">
      <c r="B52" s="132" t="str">
        <f>'[3]10.1'!B52</f>
        <v>(1) - (6) From TWIA's Statutory Annual Statements and Insurance Expense Exhibits. 2024 figures are projected</v>
      </c>
      <c r="L52" s="2"/>
    </row>
    <row r="53" spans="1:12" x14ac:dyDescent="0.2">
      <c r="B53" s="132" t="str">
        <f>'[3]10.1'!B53</f>
        <v>(7) Exhibit 10, Sheet 2</v>
      </c>
      <c r="L53" s="2"/>
    </row>
    <row r="54" spans="1:12" x14ac:dyDescent="0.2">
      <c r="B54" s="132" t="str">
        <f>'[3]10.1'!B54</f>
        <v>(8) Outstanding principal paid off in 2023</v>
      </c>
      <c r="L54" s="2"/>
    </row>
    <row r="55" spans="1:12" x14ac:dyDescent="0.2">
      <c r="B55" s="132" t="str">
        <f>'[3]10.1'!B55</f>
        <v>(9) = (5) + (7) + (8)</v>
      </c>
      <c r="L55" s="2"/>
    </row>
    <row r="56" spans="1:12" x14ac:dyDescent="0.2">
      <c r="B56" s="132" t="str">
        <f>'[3]10.1'!B56</f>
        <v>(10) = (3) + (4) + (6)</v>
      </c>
      <c r="L56" s="2"/>
    </row>
    <row r="57" spans="1:12" x14ac:dyDescent="0.2">
      <c r="B57" s="132" t="str">
        <f>'[3]10.1'!B57</f>
        <v xml:space="preserve">(11) CRTF contribution selected judgmentally </v>
      </c>
      <c r="L57" s="2"/>
    </row>
    <row r="58" spans="1:12" x14ac:dyDescent="0.2">
      <c r="B58" s="132" t="str">
        <f>'[3]10.1'!B58</f>
        <v>(12) = 100% - (10) - (11)</v>
      </c>
      <c r="L58" s="2"/>
    </row>
    <row r="59" spans="1:12" x14ac:dyDescent="0.2">
      <c r="B59" s="132"/>
      <c r="L59" s="2"/>
    </row>
    <row r="60" spans="1:12" x14ac:dyDescent="0.2">
      <c r="B60" s="132"/>
      <c r="L60" s="2"/>
    </row>
    <row r="61" spans="1:12" x14ac:dyDescent="0.2">
      <c r="L61" s="2"/>
    </row>
    <row r="62" spans="1:12" x14ac:dyDescent="0.2">
      <c r="L62" s="2"/>
    </row>
    <row r="63" spans="1:12" x14ac:dyDescent="0.2">
      <c r="D63" s="31"/>
      <c r="E63" s="31"/>
      <c r="F63" s="31"/>
      <c r="G63" s="31"/>
      <c r="L63" s="2"/>
    </row>
    <row r="64" spans="1:12" x14ac:dyDescent="0.2">
      <c r="H64" s="20"/>
      <c r="L64" s="2"/>
    </row>
    <row r="65" spans="1:12" x14ac:dyDescent="0.2">
      <c r="L65" s="2"/>
    </row>
    <row r="66" spans="1:12" x14ac:dyDescent="0.2">
      <c r="L66" s="2"/>
    </row>
    <row r="67" spans="1:12" ht="12" thickBot="1" x14ac:dyDescent="0.25">
      <c r="L67" s="2"/>
    </row>
    <row r="68" spans="1:12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3"/>
    </row>
  </sheetData>
  <phoneticPr fontId="0" type="noConversion"/>
  <pageMargins left="0.5" right="0.5" top="0.5" bottom="0.5" header="0.5" footer="0.5"/>
  <pageSetup scale="87"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2750-6FFA-4852-98A2-B33374F81465}">
  <sheetPr>
    <tabColor rgb="FF00FF00"/>
  </sheetPr>
  <dimension ref="A1:O63"/>
  <sheetViews>
    <sheetView showGridLines="0" workbookViewId="0"/>
  </sheetViews>
  <sheetFormatPr defaultColWidth="11.33203125" defaultRowHeight="11.25" x14ac:dyDescent="0.2"/>
  <cols>
    <col min="1" max="2" width="4.5" customWidth="1"/>
    <col min="3" max="3" width="54.5" customWidth="1"/>
    <col min="4" max="6" width="13.83203125" customWidth="1"/>
    <col min="7" max="7" width="4.1640625" customWidth="1"/>
    <col min="8" max="8" width="10.5" customWidth="1"/>
  </cols>
  <sheetData>
    <row r="1" spans="1:15" x14ac:dyDescent="0.2">
      <c r="A1" s="8" t="str">
        <f>'1'!$A$1</f>
        <v>Texas Windstorm Insurance Association</v>
      </c>
      <c r="C1" s="12"/>
      <c r="H1" s="96" t="s">
        <v>156</v>
      </c>
      <c r="I1" s="1"/>
      <c r="L1" s="180" t="s">
        <v>416</v>
      </c>
      <c r="N1" s="181">
        <f ca="1">'1'!H15</f>
        <v>0.38</v>
      </c>
    </row>
    <row r="2" spans="1:15" x14ac:dyDescent="0.2">
      <c r="A2" s="8" t="str">
        <f>'1'!$A$2</f>
        <v>Residential Property - Wind &amp; Hail</v>
      </c>
      <c r="C2" s="12"/>
      <c r="H2" s="96" t="s">
        <v>81</v>
      </c>
      <c r="I2" s="2"/>
    </row>
    <row r="3" spans="1:15" x14ac:dyDescent="0.2">
      <c r="A3" s="8" t="str">
        <f>'1'!$A$3</f>
        <v>Rate Level Review</v>
      </c>
      <c r="C3" s="12"/>
      <c r="H3" s="7"/>
      <c r="I3" s="2"/>
    </row>
    <row r="4" spans="1:15" x14ac:dyDescent="0.2">
      <c r="A4" t="s">
        <v>276</v>
      </c>
      <c r="C4" s="12"/>
      <c r="I4" s="2"/>
    </row>
    <row r="5" spans="1:15" x14ac:dyDescent="0.2">
      <c r="A5" t="s">
        <v>422</v>
      </c>
      <c r="C5" s="12"/>
      <c r="I5" s="2"/>
    </row>
    <row r="6" spans="1:15" x14ac:dyDescent="0.2">
      <c r="I6" s="2"/>
    </row>
    <row r="7" spans="1:15" ht="12" thickBot="1" x14ac:dyDescent="0.25">
      <c r="A7" s="6"/>
      <c r="B7" s="6"/>
      <c r="C7" s="6"/>
      <c r="D7" s="104" t="str">
        <f>'[4]11.2'!D$7</f>
        <v>Combined</v>
      </c>
      <c r="E7" s="104" t="str">
        <f>'[4]11.2'!E$7</f>
        <v>Residential</v>
      </c>
      <c r="F7" s="104" t="str">
        <f>'[4]11.2'!F$7</f>
        <v>Commercial</v>
      </c>
      <c r="I7" s="2"/>
    </row>
    <row r="8" spans="1:15" ht="12" thickTop="1" x14ac:dyDescent="0.2">
      <c r="I8" s="2"/>
      <c r="J8" t="s">
        <v>277</v>
      </c>
    </row>
    <row r="9" spans="1:15" x14ac:dyDescent="0.2">
      <c r="I9" s="2"/>
      <c r="J9" t="s">
        <v>278</v>
      </c>
      <c r="K9" t="s">
        <v>279</v>
      </c>
    </row>
    <row r="10" spans="1:15" x14ac:dyDescent="0.2">
      <c r="A10" s="41" t="s">
        <v>170</v>
      </c>
      <c r="B10" t="str">
        <f>YEAR($J$10)&amp;" - "&amp;YEAR($K$10)&amp;" Reinsurance Premium"</f>
        <v>2024 - 2025 Reinsurance Premium</v>
      </c>
      <c r="D10" s="53">
        <f>'[3]10.2'!D10</f>
        <v>370310167.62198251</v>
      </c>
      <c r="E10" s="53">
        <f>'[3]10.2'!E10</f>
        <v>288590979.33111674</v>
      </c>
      <c r="F10" s="53">
        <f>'[3]10.2'!F10</f>
        <v>81719188.290865749</v>
      </c>
      <c r="I10" s="2"/>
      <c r="J10" s="55">
        <f>'[3]10.2'!$J$10</f>
        <v>45444</v>
      </c>
      <c r="K10" s="55">
        <f>'[3]10.2'!$K$10</f>
        <v>45808</v>
      </c>
      <c r="L10" s="52"/>
    </row>
    <row r="11" spans="1:15" x14ac:dyDescent="0.2">
      <c r="I11" s="2"/>
    </row>
    <row r="12" spans="1:15" x14ac:dyDescent="0.2">
      <c r="A12" s="41" t="s">
        <v>280</v>
      </c>
      <c r="B12" t="s">
        <v>423</v>
      </c>
      <c r="I12" s="2"/>
      <c r="J12" t="s">
        <v>281</v>
      </c>
    </row>
    <row r="13" spans="1:15" x14ac:dyDescent="0.2">
      <c r="C13" s="54" t="str">
        <f>'[3]10.2'!C13</f>
        <v>100% of $4050M XS $2450M</v>
      </c>
      <c r="D13" s="54">
        <f>'[3]10.2'!D13</f>
        <v>74647712.481559396</v>
      </c>
      <c r="E13" s="54">
        <f>'[3]10.2'!E13</f>
        <v>58850298.695193097</v>
      </c>
      <c r="F13" s="54">
        <f>'[3]10.2'!F13</f>
        <v>15797413.786366301</v>
      </c>
      <c r="I13" s="2"/>
      <c r="J13" t="s">
        <v>201</v>
      </c>
    </row>
    <row r="14" spans="1:15" x14ac:dyDescent="0.2">
      <c r="C14" s="12" t="s">
        <v>9</v>
      </c>
      <c r="D14" s="19">
        <f>SUM(D13:D13)</f>
        <v>74647712.481559396</v>
      </c>
      <c r="E14" s="19">
        <f>SUM(E13:E13)</f>
        <v>58850298.695193097</v>
      </c>
      <c r="F14" s="19">
        <f>SUM(F13:F13)</f>
        <v>15797413.786366301</v>
      </c>
      <c r="G14" s="20"/>
      <c r="H14" s="20"/>
      <c r="I14" s="2"/>
      <c r="J14" s="37">
        <f>'[3]10.2'!$J$14</f>
        <v>45260</v>
      </c>
      <c r="L14" s="52"/>
      <c r="O14" s="107"/>
    </row>
    <row r="15" spans="1:15" x14ac:dyDescent="0.2">
      <c r="G15" s="20"/>
      <c r="H15" s="20"/>
      <c r="I15" s="2"/>
      <c r="J15" s="59"/>
      <c r="O15" s="107"/>
    </row>
    <row r="16" spans="1:15" x14ac:dyDescent="0.2">
      <c r="A16" s="41" t="s">
        <v>282</v>
      </c>
      <c r="B16" t="s">
        <v>283</v>
      </c>
      <c r="G16" s="20"/>
      <c r="H16" s="20"/>
      <c r="I16" s="2"/>
      <c r="O16" s="107"/>
    </row>
    <row r="17" spans="1:15" x14ac:dyDescent="0.2">
      <c r="C17" s="54" t="str">
        <f>'[3]10.2'!C17</f>
        <v>100% of $4050M XS $2450M</v>
      </c>
      <c r="D17" s="54">
        <f>'[3]10.2'!D17</f>
        <v>58200781.228802994</v>
      </c>
      <c r="E17" s="54">
        <f>'[3]10.2'!E17</f>
        <v>44681497.768127397</v>
      </c>
      <c r="F17" s="54">
        <f>'[3]10.2'!F17</f>
        <v>13519283.460675601</v>
      </c>
      <c r="G17" s="20"/>
      <c r="H17" s="20"/>
      <c r="I17" s="2"/>
      <c r="O17" s="107"/>
    </row>
    <row r="18" spans="1:15" x14ac:dyDescent="0.2">
      <c r="C18" s="12" t="s">
        <v>9</v>
      </c>
      <c r="D18" s="19">
        <f>SUM(D17:D17)</f>
        <v>58200781.228802994</v>
      </c>
      <c r="E18" s="19">
        <f>SUM(E17:E17)</f>
        <v>44681497.768127397</v>
      </c>
      <c r="F18" s="19">
        <f>SUM(F17:F17)</f>
        <v>13519283.460675601</v>
      </c>
      <c r="G18" s="20"/>
      <c r="H18" s="20"/>
      <c r="I18" s="2"/>
      <c r="J18" s="97"/>
      <c r="O18" s="107"/>
    </row>
    <row r="19" spans="1:15" x14ac:dyDescent="0.2">
      <c r="D19" s="98"/>
      <c r="G19" s="20"/>
      <c r="H19" s="20"/>
      <c r="I19" s="2"/>
      <c r="O19" s="107"/>
    </row>
    <row r="20" spans="1:15" x14ac:dyDescent="0.2">
      <c r="A20" s="41" t="s">
        <v>284</v>
      </c>
      <c r="B20" t="s">
        <v>285</v>
      </c>
      <c r="D20" s="53">
        <f>'[3]10.2'!D20</f>
        <v>66424246.855181202</v>
      </c>
      <c r="E20" s="53">
        <f>'[3]10.2'!E20</f>
        <v>51765898.231660247</v>
      </c>
      <c r="F20" s="53">
        <f>'[3]10.2'!F20</f>
        <v>14658348.623520952</v>
      </c>
      <c r="G20" s="20"/>
      <c r="H20" s="20"/>
      <c r="I20" s="2"/>
      <c r="J20" s="61"/>
      <c r="O20" s="107"/>
    </row>
    <row r="21" spans="1:15" x14ac:dyDescent="0.2">
      <c r="G21" s="20"/>
      <c r="H21" s="20"/>
      <c r="I21" s="2"/>
      <c r="J21" s="41"/>
      <c r="K21" s="53"/>
      <c r="L21" s="53"/>
      <c r="N21" s="19"/>
    </row>
    <row r="22" spans="1:15" x14ac:dyDescent="0.2">
      <c r="A22" s="41" t="s">
        <v>172</v>
      </c>
      <c r="B22" t="s">
        <v>286</v>
      </c>
      <c r="D22" s="53">
        <f>'[3]10.2'!D22</f>
        <v>293390889.76368266</v>
      </c>
      <c r="E22" s="53">
        <f>'[3]10.2'!E22</f>
        <v>228646069.17885417</v>
      </c>
      <c r="F22" s="53">
        <f>'[3]10.2'!F22</f>
        <v>64744820.584828489</v>
      </c>
      <c r="G22" s="20"/>
      <c r="H22" s="20"/>
      <c r="I22" s="2"/>
      <c r="K22" s="19"/>
      <c r="L22" s="53"/>
    </row>
    <row r="23" spans="1:15" x14ac:dyDescent="0.2">
      <c r="G23" s="20"/>
      <c r="H23" s="20"/>
      <c r="I23" s="2"/>
    </row>
    <row r="24" spans="1:15" x14ac:dyDescent="0.2">
      <c r="A24" s="41" t="s">
        <v>127</v>
      </c>
      <c r="B24" s="19" t="str">
        <f>"TWIA In-Force Premium as of "&amp;TEXT('7.1'!M11,"mm/dd/yy")&amp;" at Present Rates"</f>
        <v>TWIA In-Force Premium as of 11/30/23 at Present Rates</v>
      </c>
      <c r="D24" s="120">
        <f>'[3]10.2'!D24</f>
        <v>648004892</v>
      </c>
      <c r="E24" s="120">
        <f>'[3]10.2'!E24</f>
        <v>519593434</v>
      </c>
      <c r="F24" s="120">
        <f>'[3]10.2'!F24</f>
        <v>128411458</v>
      </c>
      <c r="G24" s="20"/>
      <c r="H24" s="20"/>
      <c r="I24" s="2"/>
    </row>
    <row r="25" spans="1:15" x14ac:dyDescent="0.2">
      <c r="G25" s="20"/>
      <c r="H25" s="20"/>
      <c r="I25" s="2"/>
      <c r="J25" s="28"/>
    </row>
    <row r="26" spans="1:15" x14ac:dyDescent="0.2">
      <c r="A26" s="41" t="s">
        <v>106</v>
      </c>
      <c r="B26" t="s">
        <v>287</v>
      </c>
      <c r="D26" s="154">
        <f>'[3]10.2'!D26</f>
        <v>0.45276030071032652</v>
      </c>
      <c r="E26" s="154">
        <f>'[3]10.2'!E26</f>
        <v>0.44004803413057403</v>
      </c>
      <c r="F26" s="154">
        <f>'[3]10.2'!F26</f>
        <v>0.50419815796210721</v>
      </c>
      <c r="I26" s="2"/>
    </row>
    <row r="27" spans="1:15" ht="12" thickBot="1" x14ac:dyDescent="0.25">
      <c r="A27" s="6"/>
      <c r="B27" s="6"/>
      <c r="C27" s="6"/>
      <c r="D27" s="6"/>
      <c r="E27" s="6"/>
      <c r="F27" s="6"/>
      <c r="I27" s="2"/>
      <c r="J27" s="61"/>
      <c r="L27" s="37"/>
    </row>
    <row r="28" spans="1:15" ht="12" thickTop="1" x14ac:dyDescent="0.2">
      <c r="I28" s="2"/>
    </row>
    <row r="29" spans="1:15" x14ac:dyDescent="0.2">
      <c r="A29" t="s">
        <v>17</v>
      </c>
      <c r="I29" s="2"/>
    </row>
    <row r="30" spans="1:15" x14ac:dyDescent="0.2">
      <c r="B30" s="132" t="str">
        <f>'[3]10.2'!B30</f>
        <v>(1) From TWIA reinsurance contract effective 6/1/2024 through 5/31/2025</v>
      </c>
      <c r="C30" s="132"/>
      <c r="D30" s="132"/>
      <c r="E30" s="132"/>
      <c r="F30" s="132"/>
      <c r="I30" s="2"/>
    </row>
    <row r="31" spans="1:15" x14ac:dyDescent="0.2">
      <c r="B31" s="132" t="str">
        <f>'[3]10.2'!B31</f>
        <v>(2a) Provided by Aon, based on Verisk model using TWIA exposures as of 11/30/2023</v>
      </c>
      <c r="C31" s="132"/>
      <c r="D31" s="132"/>
      <c r="E31" s="132"/>
      <c r="F31" s="132"/>
      <c r="I31" s="2"/>
    </row>
    <row r="32" spans="1:15" x14ac:dyDescent="0.2">
      <c r="B32" s="132" t="str">
        <f>'[3]10.2'!B32</f>
        <v>(2b) Provided by Aon, based on RMS model using TWIA exposures as of 11/30/2023</v>
      </c>
      <c r="C32" s="132"/>
      <c r="D32" s="132"/>
      <c r="E32" s="132"/>
      <c r="F32" s="132"/>
      <c r="I32" s="2"/>
    </row>
    <row r="33" spans="1:9" x14ac:dyDescent="0.2">
      <c r="B33" s="132" t="str">
        <f>'[3]10.2'!B33</f>
        <v>(2c) Selected to be equal to the average of the RMS and Verisk catastrophe models</v>
      </c>
      <c r="C33" s="132"/>
      <c r="D33" s="132"/>
      <c r="E33" s="132"/>
      <c r="F33" s="132"/>
      <c r="I33" s="2"/>
    </row>
    <row r="34" spans="1:9" x14ac:dyDescent="0.2">
      <c r="B34" s="132" t="str">
        <f>'[3]10.2'!B34</f>
        <v>(3) = (1) - (2c) * 1.158. 1.158 is the LAE loading.</v>
      </c>
      <c r="C34" s="132"/>
      <c r="D34" s="132"/>
      <c r="E34" s="132"/>
      <c r="F34" s="132"/>
      <c r="I34" s="2"/>
    </row>
    <row r="35" spans="1:9" x14ac:dyDescent="0.2">
      <c r="B35" s="132" t="str">
        <f>'[3]10.2'!B35</f>
        <v>(4) Exhibit 7, Sheet 1</v>
      </c>
      <c r="C35" s="132"/>
      <c r="D35" s="132"/>
      <c r="E35" s="132"/>
      <c r="F35" s="132"/>
      <c r="I35" s="2"/>
    </row>
    <row r="36" spans="1:9" x14ac:dyDescent="0.2">
      <c r="B36" s="132" t="str">
        <f>'[3]10.2'!B36</f>
        <v>(5) = (3) / (4)</v>
      </c>
      <c r="C36" s="132"/>
      <c r="D36" s="132"/>
      <c r="E36" s="132"/>
      <c r="F36" s="132"/>
      <c r="I36" s="2"/>
    </row>
    <row r="37" spans="1:9" x14ac:dyDescent="0.2">
      <c r="B37" s="132"/>
      <c r="C37" s="132"/>
      <c r="D37" s="132"/>
      <c r="E37" s="132"/>
      <c r="F37" s="132"/>
      <c r="I37" s="2"/>
    </row>
    <row r="38" spans="1:9" x14ac:dyDescent="0.2">
      <c r="A38" s="41"/>
      <c r="B38" s="132"/>
      <c r="C38" s="132"/>
      <c r="D38" s="132"/>
      <c r="E38" s="132"/>
      <c r="F38" s="132"/>
      <c r="I38" s="2"/>
    </row>
    <row r="39" spans="1:9" x14ac:dyDescent="0.2">
      <c r="A39" s="41"/>
      <c r="B39" s="132"/>
      <c r="C39" s="132"/>
      <c r="D39" s="132"/>
      <c r="E39" s="132"/>
      <c r="F39" s="132"/>
      <c r="I39" s="2"/>
    </row>
    <row r="40" spans="1:9" x14ac:dyDescent="0.2">
      <c r="I40" s="2"/>
    </row>
    <row r="41" spans="1:9" x14ac:dyDescent="0.2">
      <c r="C41" s="12"/>
      <c r="I41" s="2"/>
    </row>
    <row r="42" spans="1:9" x14ac:dyDescent="0.2">
      <c r="C42" s="12"/>
      <c r="D42" s="53"/>
      <c r="I42" s="2"/>
    </row>
    <row r="43" spans="1:9" x14ac:dyDescent="0.2">
      <c r="C43" s="53"/>
      <c r="D43" s="53"/>
      <c r="I43" s="2"/>
    </row>
    <row r="44" spans="1:9" x14ac:dyDescent="0.2">
      <c r="C44" s="53"/>
      <c r="D44" s="53"/>
      <c r="I44" s="2"/>
    </row>
    <row r="45" spans="1:9" x14ac:dyDescent="0.2">
      <c r="C45" s="12"/>
      <c r="D45" s="53"/>
      <c r="I45" s="2"/>
    </row>
    <row r="46" spans="1:9" x14ac:dyDescent="0.2">
      <c r="A46" s="41"/>
      <c r="D46" s="42"/>
      <c r="I46" s="2"/>
    </row>
    <row r="47" spans="1:9" x14ac:dyDescent="0.2">
      <c r="I47" s="2"/>
    </row>
    <row r="48" spans="1:9" x14ac:dyDescent="0.2">
      <c r="A48" s="41"/>
      <c r="D48" s="19"/>
      <c r="E48" s="19"/>
      <c r="F48" s="19"/>
      <c r="I48" s="2"/>
    </row>
    <row r="49" spans="1:9" x14ac:dyDescent="0.2">
      <c r="I49" s="2"/>
    </row>
    <row r="50" spans="1:9" x14ac:dyDescent="0.2">
      <c r="I50" s="2"/>
    </row>
    <row r="51" spans="1:9" x14ac:dyDescent="0.2">
      <c r="A51" s="41"/>
      <c r="B51" s="41"/>
      <c r="D51" s="31"/>
      <c r="E51" s="19"/>
      <c r="F51" s="19"/>
      <c r="G51" s="19"/>
      <c r="I51" s="2"/>
    </row>
    <row r="52" spans="1:9" x14ac:dyDescent="0.2">
      <c r="A52" s="41"/>
      <c r="B52" s="41"/>
      <c r="D52" s="31"/>
      <c r="E52" s="19"/>
      <c r="F52" s="19"/>
      <c r="G52" s="19"/>
      <c r="I52" s="2"/>
    </row>
    <row r="53" spans="1:9" x14ac:dyDescent="0.2">
      <c r="A53" s="41"/>
      <c r="B53" s="41"/>
      <c r="D53" s="31"/>
      <c r="E53" s="19"/>
      <c r="F53" s="19"/>
      <c r="G53" s="19"/>
      <c r="I53" s="2"/>
    </row>
    <row r="54" spans="1:9" x14ac:dyDescent="0.2">
      <c r="A54" s="41"/>
      <c r="B54" s="41"/>
      <c r="D54" s="31"/>
      <c r="E54" s="19"/>
      <c r="F54" s="19"/>
      <c r="G54" s="19"/>
      <c r="I54" s="2"/>
    </row>
    <row r="55" spans="1:9" x14ac:dyDescent="0.2">
      <c r="A55" s="41"/>
      <c r="B55" s="41"/>
      <c r="D55" s="31"/>
      <c r="E55" s="19"/>
      <c r="F55" s="19"/>
      <c r="G55" s="19"/>
      <c r="I55" s="2"/>
    </row>
    <row r="56" spans="1:9" x14ac:dyDescent="0.2">
      <c r="A56" s="41"/>
      <c r="B56" s="41"/>
      <c r="D56" s="31"/>
      <c r="E56" s="19"/>
      <c r="F56" s="19"/>
      <c r="G56" s="19"/>
      <c r="I56" s="2"/>
    </row>
    <row r="57" spans="1:9" x14ac:dyDescent="0.2">
      <c r="A57" s="41"/>
      <c r="B57" s="41"/>
      <c r="D57" s="20"/>
      <c r="E57" s="20"/>
      <c r="F57" s="20"/>
      <c r="G57" s="20"/>
      <c r="I57" s="2"/>
    </row>
    <row r="58" spans="1:9" x14ac:dyDescent="0.2">
      <c r="C58" s="23"/>
      <c r="D58" s="42"/>
      <c r="E58" s="38"/>
      <c r="F58" s="38"/>
      <c r="G58" s="38"/>
      <c r="I58" s="2"/>
    </row>
    <row r="59" spans="1:9" x14ac:dyDescent="0.2">
      <c r="C59" s="23"/>
      <c r="D59" s="42"/>
      <c r="E59" s="38"/>
      <c r="F59" s="38"/>
      <c r="G59" s="38"/>
      <c r="I59" s="2"/>
    </row>
    <row r="60" spans="1:9" ht="12" thickBot="1" x14ac:dyDescent="0.25">
      <c r="C60" s="23"/>
      <c r="D60" s="42"/>
      <c r="E60" s="38"/>
      <c r="F60" s="38"/>
      <c r="G60" s="38"/>
      <c r="I60" s="2"/>
    </row>
    <row r="61" spans="1:9" ht="12" thickBot="1" x14ac:dyDescent="0.25">
      <c r="A61" s="4"/>
      <c r="B61" s="5"/>
      <c r="C61" s="5"/>
      <c r="D61" s="5"/>
      <c r="E61" s="5"/>
      <c r="F61" s="5"/>
      <c r="G61" s="5"/>
      <c r="H61" s="5"/>
      <c r="I61" s="2"/>
    </row>
    <row r="62" spans="1:9" ht="12" thickBot="1" x14ac:dyDescent="0.25">
      <c r="I62" s="2"/>
    </row>
    <row r="63" spans="1:9" ht="12" thickBot="1" x14ac:dyDescent="0.25">
      <c r="I63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>
    <tabColor rgb="FF00FF00"/>
  </sheetPr>
  <dimension ref="A1:P74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162</v>
      </c>
      <c r="K1" s="1"/>
      <c r="L1" s="169" t="s">
        <v>369</v>
      </c>
      <c r="M1" s="170" t="s">
        <v>408</v>
      </c>
      <c r="O1" t="s">
        <v>369</v>
      </c>
      <c r="P1" t="s">
        <v>374</v>
      </c>
    </row>
    <row r="2" spans="1:16" x14ac:dyDescent="0.2">
      <c r="A2" s="8" t="str">
        <f>'1'!$A$2</f>
        <v>Residential Property - Wind &amp; Hail</v>
      </c>
      <c r="B2" s="12"/>
      <c r="J2" s="7"/>
      <c r="K2" s="2"/>
      <c r="L2" s="171" t="s">
        <v>369</v>
      </c>
      <c r="M2" s="112" t="s">
        <v>409</v>
      </c>
      <c r="O2" t="s">
        <v>369</v>
      </c>
      <c r="P2" t="s">
        <v>375</v>
      </c>
    </row>
    <row r="3" spans="1:16" ht="12" thickBot="1" x14ac:dyDescent="0.25">
      <c r="A3" s="8" t="str">
        <f>'1'!$A$3</f>
        <v>Rate Level Review</v>
      </c>
      <c r="B3" s="12"/>
      <c r="K3" s="2"/>
      <c r="L3" s="172" t="s">
        <v>369</v>
      </c>
      <c r="M3" s="173" t="s">
        <v>410</v>
      </c>
      <c r="O3" t="s">
        <v>369</v>
      </c>
      <c r="P3" t="s">
        <v>376</v>
      </c>
    </row>
    <row r="4" spans="1:16" x14ac:dyDescent="0.2">
      <c r="A4" t="s">
        <v>188</v>
      </c>
      <c r="B4" s="12"/>
      <c r="K4" s="2"/>
    </row>
    <row r="5" spans="1:16" x14ac:dyDescent="0.2"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235" t="s">
        <v>190</v>
      </c>
      <c r="D9" s="235"/>
      <c r="F9" s="11" t="s">
        <v>152</v>
      </c>
      <c r="K9" s="2"/>
      <c r="L9" s="17"/>
    </row>
    <row r="10" spans="1:16" x14ac:dyDescent="0.2">
      <c r="A10" t="s">
        <v>189</v>
      </c>
      <c r="C10" s="11"/>
      <c r="D10" s="11"/>
      <c r="E10" s="11"/>
      <c r="F10" s="11" t="s">
        <v>194</v>
      </c>
      <c r="G10" s="11"/>
      <c r="K10" s="2"/>
      <c r="L10" s="12"/>
    </row>
    <row r="11" spans="1:16" x14ac:dyDescent="0.2">
      <c r="A11" s="9" t="s">
        <v>53</v>
      </c>
      <c r="B11" s="9"/>
      <c r="C11" s="125" t="s">
        <v>191</v>
      </c>
      <c r="D11" s="125" t="s">
        <v>192</v>
      </c>
      <c r="E11" s="125" t="s">
        <v>9</v>
      </c>
      <c r="F11" s="125" t="s">
        <v>193</v>
      </c>
      <c r="G11" s="125" t="s">
        <v>195</v>
      </c>
      <c r="K11" s="2"/>
      <c r="L11" s="37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6" x14ac:dyDescent="0.2">
      <c r="K13" s="2"/>
    </row>
    <row r="14" spans="1:16" x14ac:dyDescent="0.2">
      <c r="A14" s="94">
        <v>1994</v>
      </c>
      <c r="B14" s="12"/>
      <c r="C14" s="157">
        <f>'[4]12.2'!C14</f>
        <v>10672677</v>
      </c>
      <c r="D14" s="157">
        <f>'[4]12.2'!D14</f>
        <v>15758330</v>
      </c>
      <c r="E14" s="26">
        <f>SUM(C14:D14)</f>
        <v>26431007</v>
      </c>
      <c r="F14" s="157">
        <f>'[4]12.2'!F14</f>
        <v>26510501</v>
      </c>
      <c r="G14" s="50">
        <f t="shared" ref="G14:G30" si="0">E14-F14</f>
        <v>-79494</v>
      </c>
      <c r="K14" s="2"/>
      <c r="L14" s="20"/>
      <c r="M14" s="22">
        <f t="shared" ref="M14:M40" si="1">G14/F14</f>
        <v>-2.9985853530267118E-3</v>
      </c>
    </row>
    <row r="15" spans="1:16" x14ac:dyDescent="0.2">
      <c r="A15" t="str">
        <f>TEXT(A14+1,"#")</f>
        <v>1995</v>
      </c>
      <c r="B15" s="12"/>
      <c r="C15" s="157">
        <f>'[4]12.2'!C15</f>
        <v>12865905</v>
      </c>
      <c r="D15" s="157">
        <f>'[4]12.2'!D15</f>
        <v>19259265</v>
      </c>
      <c r="E15" s="26">
        <f t="shared" ref="E15:E30" si="2">SUM(C15:D15)</f>
        <v>32125170</v>
      </c>
      <c r="F15" s="157">
        <f>'[4]12.2'!F15</f>
        <v>32419287</v>
      </c>
      <c r="G15" s="50">
        <f t="shared" si="0"/>
        <v>-294117</v>
      </c>
      <c r="K15" s="2"/>
      <c r="L15" s="20"/>
      <c r="M15" s="22">
        <f t="shared" si="1"/>
        <v>-9.0722846557359516E-3</v>
      </c>
    </row>
    <row r="16" spans="1:16" x14ac:dyDescent="0.2">
      <c r="A16" t="str">
        <f t="shared" ref="A16:A30" si="3">TEXT(A15+1,"#")</f>
        <v>1996</v>
      </c>
      <c r="C16" s="157">
        <f>'[4]12.2'!C16</f>
        <v>15640660</v>
      </c>
      <c r="D16" s="157">
        <f>'[4]12.2'!D16</f>
        <v>24504127</v>
      </c>
      <c r="E16" s="26">
        <f t="shared" si="2"/>
        <v>40144787</v>
      </c>
      <c r="F16" s="157">
        <f>'[4]12.2'!F16</f>
        <v>40358575</v>
      </c>
      <c r="G16" s="50">
        <f t="shared" si="0"/>
        <v>-213788</v>
      </c>
      <c r="K16" s="2"/>
      <c r="L16" s="20"/>
      <c r="M16" s="22">
        <f t="shared" si="1"/>
        <v>-5.2972137891389871E-3</v>
      </c>
    </row>
    <row r="17" spans="1:13" x14ac:dyDescent="0.2">
      <c r="A17" t="str">
        <f t="shared" si="3"/>
        <v>1997</v>
      </c>
      <c r="C17" s="157">
        <f>'[4]12.2'!C17</f>
        <v>16536186</v>
      </c>
      <c r="D17" s="157">
        <f>'[4]12.2'!D17</f>
        <v>25783455</v>
      </c>
      <c r="E17" s="26">
        <f t="shared" si="2"/>
        <v>42319641</v>
      </c>
      <c r="F17" s="157">
        <f>'[4]12.2'!F17</f>
        <v>42462844</v>
      </c>
      <c r="G17" s="50">
        <f t="shared" si="0"/>
        <v>-143203</v>
      </c>
      <c r="K17" s="2"/>
      <c r="L17" s="20"/>
      <c r="M17" s="22">
        <f t="shared" si="1"/>
        <v>-3.3724307302638512E-3</v>
      </c>
    </row>
    <row r="18" spans="1:13" x14ac:dyDescent="0.2">
      <c r="A18" t="str">
        <f t="shared" si="3"/>
        <v>1998</v>
      </c>
      <c r="C18" s="157">
        <f>'[4]12.2'!C18</f>
        <v>16558977</v>
      </c>
      <c r="D18" s="157">
        <f>'[4]12.2'!D18</f>
        <v>27833800</v>
      </c>
      <c r="E18" s="26">
        <f t="shared" si="2"/>
        <v>44392777</v>
      </c>
      <c r="F18" s="157">
        <f>'[4]12.2'!F18</f>
        <v>44410914</v>
      </c>
      <c r="G18" s="50">
        <f t="shared" si="0"/>
        <v>-18137</v>
      </c>
      <c r="K18" s="2"/>
      <c r="L18" s="20"/>
      <c r="M18" s="22">
        <f t="shared" si="1"/>
        <v>-4.0839060416545357E-4</v>
      </c>
    </row>
    <row r="19" spans="1:13" x14ac:dyDescent="0.2">
      <c r="A19" t="str">
        <f t="shared" si="3"/>
        <v>1999</v>
      </c>
      <c r="C19" s="157">
        <f>'[4]12.2'!C19</f>
        <v>17394142.049999997</v>
      </c>
      <c r="D19" s="157">
        <f>'[4]12.2'!D19</f>
        <v>27168992</v>
      </c>
      <c r="E19" s="26">
        <f t="shared" si="2"/>
        <v>44563134.049999997</v>
      </c>
      <c r="F19" s="157">
        <f>'[4]12.2'!F19</f>
        <v>44581218</v>
      </c>
      <c r="G19" s="50">
        <f t="shared" si="0"/>
        <v>-18083.95000000298</v>
      </c>
      <c r="K19" s="2"/>
      <c r="L19" s="20"/>
      <c r="M19" s="22">
        <f t="shared" si="1"/>
        <v>-4.0564055472874203E-4</v>
      </c>
    </row>
    <row r="20" spans="1:13" x14ac:dyDescent="0.2">
      <c r="A20" t="str">
        <f t="shared" si="3"/>
        <v>2000</v>
      </c>
      <c r="C20" s="157">
        <f>'[4]12.2'!C20</f>
        <v>17332561</v>
      </c>
      <c r="D20" s="157">
        <f>'[4]12.2'!D20</f>
        <v>29762296</v>
      </c>
      <c r="E20" s="26">
        <f t="shared" si="2"/>
        <v>47094857</v>
      </c>
      <c r="F20" s="157">
        <f>'[4]12.2'!F20</f>
        <v>48012426</v>
      </c>
      <c r="G20" s="50">
        <f t="shared" si="0"/>
        <v>-917569</v>
      </c>
      <c r="K20" s="2"/>
      <c r="L20" s="20"/>
      <c r="M20" s="22">
        <f t="shared" si="1"/>
        <v>-1.911107345419288E-2</v>
      </c>
    </row>
    <row r="21" spans="1:13" x14ac:dyDescent="0.2">
      <c r="A21" t="str">
        <f t="shared" si="3"/>
        <v>2001</v>
      </c>
      <c r="C21" s="157">
        <f>'[4]12.2'!C21</f>
        <v>17544251</v>
      </c>
      <c r="D21" s="157">
        <f>'[4]12.2'!D21</f>
        <v>36220622.519999996</v>
      </c>
      <c r="E21" s="26">
        <f t="shared" si="2"/>
        <v>53764873.519999996</v>
      </c>
      <c r="F21" s="157">
        <f>'[4]12.2'!F21</f>
        <v>54630727</v>
      </c>
      <c r="G21" s="50">
        <f t="shared" si="0"/>
        <v>-865853.48000000417</v>
      </c>
      <c r="K21" s="2"/>
      <c r="L21" s="20"/>
      <c r="M21" s="22">
        <f t="shared" si="1"/>
        <v>-1.584920295862078E-2</v>
      </c>
    </row>
    <row r="22" spans="1:13" x14ac:dyDescent="0.2">
      <c r="A22" t="str">
        <f t="shared" si="3"/>
        <v>2002</v>
      </c>
      <c r="C22" s="157">
        <f>'[4]12.2'!C22</f>
        <v>24013525</v>
      </c>
      <c r="D22" s="157">
        <f>'[4]12.2'!D22</f>
        <v>48856422.25</v>
      </c>
      <c r="E22" s="26">
        <f t="shared" si="2"/>
        <v>72869947.25</v>
      </c>
      <c r="F22" s="157">
        <f>'[4]12.2'!F22</f>
        <v>72967831</v>
      </c>
      <c r="G22" s="50">
        <f t="shared" si="0"/>
        <v>-97883.75</v>
      </c>
      <c r="K22" s="2"/>
      <c r="L22" s="20"/>
      <c r="M22" s="22">
        <f t="shared" si="1"/>
        <v>-1.3414644324565438E-3</v>
      </c>
    </row>
    <row r="23" spans="1:13" x14ac:dyDescent="0.2">
      <c r="A23" t="str">
        <f t="shared" si="3"/>
        <v>2003</v>
      </c>
      <c r="C23" s="157">
        <f>'[4]12.2'!C23</f>
        <v>29220514</v>
      </c>
      <c r="D23" s="157">
        <f>'[4]12.2'!D23</f>
        <v>58573191</v>
      </c>
      <c r="E23" s="26">
        <f t="shared" si="2"/>
        <v>87793705</v>
      </c>
      <c r="F23" s="157">
        <f>'[4]12.2'!F23</f>
        <v>87987279</v>
      </c>
      <c r="G23" s="50">
        <f t="shared" si="0"/>
        <v>-193574</v>
      </c>
      <c r="K23" s="2"/>
      <c r="L23" s="20"/>
      <c r="M23" s="22">
        <f t="shared" si="1"/>
        <v>-2.2000225737177303E-3</v>
      </c>
    </row>
    <row r="24" spans="1:13" x14ac:dyDescent="0.2">
      <c r="A24" t="str">
        <f t="shared" si="3"/>
        <v>2004</v>
      </c>
      <c r="C24" s="157">
        <f>'[4]12.2'!C24</f>
        <v>31009323</v>
      </c>
      <c r="D24" s="157">
        <f>'[4]12.2'!D24</f>
        <v>71292702</v>
      </c>
      <c r="E24" s="26">
        <f t="shared" si="2"/>
        <v>102302025</v>
      </c>
      <c r="F24" s="157">
        <f>'[4]12.2'!F24</f>
        <v>102384351</v>
      </c>
      <c r="G24" s="50">
        <f t="shared" si="0"/>
        <v>-82326</v>
      </c>
      <c r="K24" s="2"/>
      <c r="L24" s="20"/>
      <c r="M24" s="22">
        <f t="shared" si="1"/>
        <v>-8.0408772625808805E-4</v>
      </c>
    </row>
    <row r="25" spans="1:13" x14ac:dyDescent="0.2">
      <c r="A25" t="str">
        <f t="shared" si="3"/>
        <v>2005</v>
      </c>
      <c r="B25" s="23"/>
      <c r="C25" s="157">
        <f>'[4]12.2'!C25</f>
        <v>35740174</v>
      </c>
      <c r="D25" s="157">
        <f>'[4]12.2'!D25</f>
        <v>78094458</v>
      </c>
      <c r="E25" s="26">
        <f t="shared" si="2"/>
        <v>113834632</v>
      </c>
      <c r="F25" s="157">
        <f>'[4]12.2'!F25</f>
        <v>113927701</v>
      </c>
      <c r="G25" s="50">
        <f t="shared" si="0"/>
        <v>-93069</v>
      </c>
      <c r="K25" s="2"/>
      <c r="L25" s="20"/>
      <c r="M25" s="22">
        <f t="shared" si="1"/>
        <v>-8.169128243885129E-4</v>
      </c>
    </row>
    <row r="26" spans="1:13" x14ac:dyDescent="0.2">
      <c r="A26" t="str">
        <f t="shared" si="3"/>
        <v>2006</v>
      </c>
      <c r="C26" s="157">
        <f>'[4]12.2'!C26</f>
        <v>76847840</v>
      </c>
      <c r="D26" s="157">
        <f>'[4]12.2'!D26</f>
        <v>119658576</v>
      </c>
      <c r="E26" s="26">
        <f t="shared" si="2"/>
        <v>196506416</v>
      </c>
      <c r="F26" s="157">
        <f>'[4]12.2'!F26</f>
        <v>196833235</v>
      </c>
      <c r="G26" s="50">
        <f t="shared" si="0"/>
        <v>-326819</v>
      </c>
      <c r="K26" s="2"/>
      <c r="L26" s="20"/>
      <c r="M26" s="22">
        <f t="shared" si="1"/>
        <v>-1.6603852494727325E-3</v>
      </c>
    </row>
    <row r="27" spans="1:13" x14ac:dyDescent="0.2">
      <c r="A27" t="str">
        <f t="shared" si="3"/>
        <v>2007</v>
      </c>
      <c r="C27" s="157">
        <f>'[4]12.2'!C27</f>
        <v>110951718</v>
      </c>
      <c r="D27" s="157">
        <f>'[4]12.2'!D27</f>
        <v>203561196</v>
      </c>
      <c r="E27" s="26">
        <f t="shared" si="2"/>
        <v>314512914</v>
      </c>
      <c r="F27" s="157">
        <f>'[4]12.2'!F27</f>
        <v>315139307</v>
      </c>
      <c r="G27" s="50">
        <f t="shared" si="0"/>
        <v>-626393</v>
      </c>
      <c r="K27" s="2"/>
      <c r="L27" s="20"/>
      <c r="M27" s="22">
        <f t="shared" si="1"/>
        <v>-1.9876701702590213E-3</v>
      </c>
    </row>
    <row r="28" spans="1:13" x14ac:dyDescent="0.2">
      <c r="A28" t="str">
        <f t="shared" si="3"/>
        <v>2008</v>
      </c>
      <c r="B28" s="23"/>
      <c r="C28" s="157">
        <f>'[4]12.2'!C28</f>
        <v>98036118.420000017</v>
      </c>
      <c r="D28" s="157">
        <f>'[4]12.2'!D28</f>
        <v>232925989.76999998</v>
      </c>
      <c r="E28" s="26">
        <f t="shared" si="2"/>
        <v>330962108.19</v>
      </c>
      <c r="F28" s="157">
        <f>'[4]12.2'!F28</f>
        <v>331057645</v>
      </c>
      <c r="G28" s="50">
        <f t="shared" si="0"/>
        <v>-95536.810000002384</v>
      </c>
      <c r="K28" s="2"/>
      <c r="L28" s="20"/>
      <c r="M28" s="22">
        <f t="shared" si="1"/>
        <v>-2.8858058843499109E-4</v>
      </c>
    </row>
    <row r="29" spans="1:13" x14ac:dyDescent="0.2">
      <c r="A29" t="str">
        <f t="shared" si="3"/>
        <v>2009</v>
      </c>
      <c r="C29" s="157">
        <f>'[4]12.2'!C29</f>
        <v>111269572.63</v>
      </c>
      <c r="D29" s="157">
        <f>'[4]12.2'!D29</f>
        <v>269535059.02999997</v>
      </c>
      <c r="E29" s="26">
        <f t="shared" si="2"/>
        <v>380804631.65999997</v>
      </c>
      <c r="F29" s="157">
        <f>'[4]12.2'!F29</f>
        <v>382342402</v>
      </c>
      <c r="G29" s="50">
        <f t="shared" si="0"/>
        <v>-1537770.3400000334</v>
      </c>
      <c r="K29" s="2"/>
      <c r="L29" s="20"/>
      <c r="M29" s="22">
        <f t="shared" si="1"/>
        <v>-4.021971750860197E-3</v>
      </c>
    </row>
    <row r="30" spans="1:13" x14ac:dyDescent="0.2">
      <c r="A30" t="str">
        <f t="shared" si="3"/>
        <v>2010</v>
      </c>
      <c r="B30" s="23"/>
      <c r="C30" s="157">
        <f>'[4]12.2'!C30</f>
        <v>102174679.52999991</v>
      </c>
      <c r="D30" s="157">
        <f>'[4]12.2'!D30</f>
        <v>278116922.00999999</v>
      </c>
      <c r="E30" s="26">
        <f t="shared" si="2"/>
        <v>380291601.5399999</v>
      </c>
      <c r="F30" s="157">
        <f>'[4]12.2'!F30</f>
        <v>385549582</v>
      </c>
      <c r="G30" s="50">
        <f t="shared" si="0"/>
        <v>-5257980.4600000978</v>
      </c>
      <c r="K30" s="2"/>
      <c r="L30" s="20"/>
      <c r="M30" s="22">
        <f t="shared" si="1"/>
        <v>-1.3637624589617887E-2</v>
      </c>
    </row>
    <row r="31" spans="1:13" x14ac:dyDescent="0.2">
      <c r="A31" t="str">
        <f t="shared" ref="A31:A43" si="4">TEXT(A30+1,"#")</f>
        <v>2011</v>
      </c>
      <c r="B31" s="23"/>
      <c r="C31" s="157">
        <f>'[4]12.2'!C31</f>
        <v>100017021</v>
      </c>
      <c r="D31" s="157">
        <f>'[4]12.2'!D31</f>
        <v>307494236.20000005</v>
      </c>
      <c r="E31" s="26">
        <f t="shared" ref="E31:E37" si="5">SUM(C31:D31)</f>
        <v>407511257.20000005</v>
      </c>
      <c r="F31" s="157">
        <f>'[4]12.2'!F31</f>
        <v>403748164</v>
      </c>
      <c r="G31" s="50">
        <f t="shared" ref="G31:G37" si="6">E31-F31</f>
        <v>3763093.2000000477</v>
      </c>
      <c r="K31" s="2"/>
      <c r="L31" s="20"/>
      <c r="M31" s="22">
        <f t="shared" si="1"/>
        <v>9.3203970582019721E-3</v>
      </c>
    </row>
    <row r="32" spans="1:13" x14ac:dyDescent="0.2">
      <c r="A32" t="str">
        <f t="shared" si="4"/>
        <v>2012</v>
      </c>
      <c r="B32" s="23"/>
      <c r="C32" s="157">
        <f>'[4]12.2'!C32</f>
        <v>110524396.51999998</v>
      </c>
      <c r="D32" s="157">
        <f>'[4]12.2'!D32</f>
        <v>335795725.19999981</v>
      </c>
      <c r="E32" s="26">
        <f>SUM(C32:D32)</f>
        <v>446320121.71999979</v>
      </c>
      <c r="F32" s="157">
        <f>'[4]12.2'!F32</f>
        <v>443479701</v>
      </c>
      <c r="G32" s="50">
        <f t="shared" si="6"/>
        <v>2840420.7199997902</v>
      </c>
      <c r="K32" s="2"/>
      <c r="L32" s="20"/>
      <c r="M32" s="22">
        <f t="shared" si="1"/>
        <v>6.4048494521732127E-3</v>
      </c>
    </row>
    <row r="33" spans="1:13" x14ac:dyDescent="0.2">
      <c r="A33" t="str">
        <f t="shared" si="4"/>
        <v>2013</v>
      </c>
      <c r="B33" s="23"/>
      <c r="C33" s="157">
        <f>'[4]12.2'!C33</f>
        <v>112904624</v>
      </c>
      <c r="D33" s="157">
        <f>'[4]12.2'!D33</f>
        <v>360838080.7099998</v>
      </c>
      <c r="E33" s="19">
        <f t="shared" si="5"/>
        <v>473742704.7099998</v>
      </c>
      <c r="F33" s="157">
        <f>'[4]12.2'!F33</f>
        <v>472739474</v>
      </c>
      <c r="G33" s="101">
        <f>E33-F33</f>
        <v>1003230.7099997997</v>
      </c>
      <c r="K33" s="2"/>
      <c r="L33" s="20"/>
      <c r="M33" s="22">
        <f t="shared" si="1"/>
        <v>2.1221640357449814E-3</v>
      </c>
    </row>
    <row r="34" spans="1:13" x14ac:dyDescent="0.2">
      <c r="A34" t="str">
        <f t="shared" si="4"/>
        <v>2014</v>
      </c>
      <c r="B34" s="23"/>
      <c r="C34" s="157">
        <f>'[4]12.2'!C34</f>
        <v>104642688</v>
      </c>
      <c r="D34" s="157">
        <f>'[4]12.2'!D34</f>
        <v>389333918.13999987</v>
      </c>
      <c r="E34" s="26">
        <f t="shared" si="5"/>
        <v>493976606.13999987</v>
      </c>
      <c r="F34" s="157">
        <f>'[4]12.2'!F34</f>
        <v>494036010</v>
      </c>
      <c r="G34" s="85">
        <f t="shared" si="6"/>
        <v>-59403.860000133514</v>
      </c>
      <c r="K34" s="2"/>
      <c r="L34" s="20"/>
      <c r="M34" s="22">
        <f t="shared" si="1"/>
        <v>-1.2024196373890541E-4</v>
      </c>
    </row>
    <row r="35" spans="1:13" x14ac:dyDescent="0.2">
      <c r="A35" t="str">
        <f t="shared" si="4"/>
        <v>2015</v>
      </c>
      <c r="B35" s="23"/>
      <c r="C35" s="157">
        <f>'[4]12.2'!C35</f>
        <v>98715934</v>
      </c>
      <c r="D35" s="157">
        <f>'[4]12.2'!D35</f>
        <v>407969846.0800004</v>
      </c>
      <c r="E35" s="26">
        <f t="shared" si="5"/>
        <v>506685780.0800004</v>
      </c>
      <c r="F35" s="157">
        <f>'[4]12.2'!F35</f>
        <v>503824316</v>
      </c>
      <c r="G35" s="85">
        <f t="shared" si="6"/>
        <v>2861464.0800004005</v>
      </c>
      <c r="K35" s="2"/>
      <c r="L35" s="20"/>
      <c r="M35" s="22">
        <f t="shared" si="1"/>
        <v>5.6794878475067501E-3</v>
      </c>
    </row>
    <row r="36" spans="1:13" x14ac:dyDescent="0.2">
      <c r="A36" t="str">
        <f t="shared" si="4"/>
        <v>2016</v>
      </c>
      <c r="B36" s="23"/>
      <c r="C36" s="157">
        <f>'[4]12.2'!C36</f>
        <v>88278690</v>
      </c>
      <c r="D36" s="157">
        <f>'[4]12.2'!D36</f>
        <v>399074847</v>
      </c>
      <c r="E36" s="26">
        <f t="shared" si="5"/>
        <v>487353537</v>
      </c>
      <c r="F36" s="157">
        <f>'[4]12.2'!F36</f>
        <v>487353537</v>
      </c>
      <c r="G36" s="85">
        <f t="shared" si="6"/>
        <v>0</v>
      </c>
      <c r="K36" s="2"/>
      <c r="L36" s="20"/>
      <c r="M36" s="22">
        <f t="shared" si="1"/>
        <v>0</v>
      </c>
    </row>
    <row r="37" spans="1:13" x14ac:dyDescent="0.2">
      <c r="A37" t="str">
        <f t="shared" si="4"/>
        <v>2017</v>
      </c>
      <c r="B37" s="23"/>
      <c r="C37" s="157">
        <f>'[4]12.2'!C37</f>
        <v>70749081</v>
      </c>
      <c r="D37" s="157">
        <f>'[4]12.2'!D37</f>
        <v>352368052</v>
      </c>
      <c r="E37" s="26">
        <f t="shared" si="5"/>
        <v>423117133</v>
      </c>
      <c r="F37" s="157">
        <f>'[4]12.2'!F37</f>
        <v>423074138</v>
      </c>
      <c r="G37" s="85">
        <f t="shared" si="6"/>
        <v>42995</v>
      </c>
      <c r="K37" s="2"/>
      <c r="L37" s="20"/>
      <c r="M37" s="22">
        <f t="shared" si="1"/>
        <v>1.0162521444409348E-4</v>
      </c>
    </row>
    <row r="38" spans="1:13" x14ac:dyDescent="0.2">
      <c r="A38" t="str">
        <f t="shared" si="4"/>
        <v>2018</v>
      </c>
      <c r="B38" s="23"/>
      <c r="C38" s="157">
        <f>'[4]12.2'!C38</f>
        <v>65696833</v>
      </c>
      <c r="D38" s="157">
        <f>'[4]12.2'!D38</f>
        <v>331676957</v>
      </c>
      <c r="E38" s="26">
        <f t="shared" ref="E38:E43" si="7">SUM(C38:D38)</f>
        <v>397373790</v>
      </c>
      <c r="F38" s="157">
        <f>'[4]12.2'!F38</f>
        <v>395551679</v>
      </c>
      <c r="G38" s="85">
        <f t="shared" ref="G38:G43" si="8">E38-F38</f>
        <v>1822111</v>
      </c>
      <c r="K38" s="2"/>
      <c r="M38" s="22">
        <f t="shared" si="1"/>
        <v>4.6065055383066643E-3</v>
      </c>
    </row>
    <row r="39" spans="1:13" x14ac:dyDescent="0.2">
      <c r="A39" t="str">
        <f t="shared" si="4"/>
        <v>2019</v>
      </c>
      <c r="B39" s="23"/>
      <c r="C39" s="157">
        <f>'[4]12.2'!C39</f>
        <v>59123729</v>
      </c>
      <c r="D39" s="157">
        <f>'[4]12.2'!D39</f>
        <v>314907158.99999952</v>
      </c>
      <c r="E39" s="26">
        <f t="shared" si="7"/>
        <v>374030887.99999952</v>
      </c>
      <c r="F39" s="157">
        <f>'[4]12.2'!F39</f>
        <v>372016601</v>
      </c>
      <c r="G39" s="85">
        <f t="shared" si="8"/>
        <v>2014286.9999995232</v>
      </c>
      <c r="K39" s="2"/>
      <c r="M39" s="22">
        <f t="shared" si="1"/>
        <v>5.4145083702851291E-3</v>
      </c>
    </row>
    <row r="40" spans="1:13" x14ac:dyDescent="0.2">
      <c r="A40" t="str">
        <f t="shared" si="4"/>
        <v>2020</v>
      </c>
      <c r="B40" s="23"/>
      <c r="C40" s="157">
        <f>'[4]12.2'!C40</f>
        <v>60327052</v>
      </c>
      <c r="D40" s="157">
        <f>'[4]12.2'!D40</f>
        <v>310312753</v>
      </c>
      <c r="E40" s="26">
        <f t="shared" si="7"/>
        <v>370639805</v>
      </c>
      <c r="F40" s="157">
        <f>'[4]12.2'!F40</f>
        <v>369600488</v>
      </c>
      <c r="G40" s="85">
        <f t="shared" si="8"/>
        <v>1039317</v>
      </c>
      <c r="K40" s="2"/>
      <c r="M40" s="22">
        <f t="shared" si="1"/>
        <v>2.8120011573144893E-3</v>
      </c>
    </row>
    <row r="41" spans="1:13" x14ac:dyDescent="0.2">
      <c r="A41" t="str">
        <f t="shared" si="4"/>
        <v>2021</v>
      </c>
      <c r="B41" s="23"/>
      <c r="C41" s="157">
        <f>'[4]12.2'!C41</f>
        <v>63366551</v>
      </c>
      <c r="D41" s="157">
        <f>'[4]12.2'!D41</f>
        <v>331736850</v>
      </c>
      <c r="E41" s="26">
        <f t="shared" si="7"/>
        <v>395103401</v>
      </c>
      <c r="F41" s="157">
        <f>'[4]12.2'!F41</f>
        <v>395112773</v>
      </c>
      <c r="G41" s="85">
        <f t="shared" si="8"/>
        <v>-9372</v>
      </c>
      <c r="K41" s="2"/>
      <c r="M41" s="22">
        <f>G41/F41</f>
        <v>-2.3719810242631666E-5</v>
      </c>
    </row>
    <row r="42" spans="1:13" x14ac:dyDescent="0.2">
      <c r="A42" t="str">
        <f t="shared" si="4"/>
        <v>2022</v>
      </c>
      <c r="B42" s="23"/>
      <c r="C42" s="157">
        <f>'[4]12.2'!C42</f>
        <v>88784127</v>
      </c>
      <c r="D42" s="157">
        <f>'[4]12.2'!D42</f>
        <v>429663068</v>
      </c>
      <c r="E42" s="26">
        <f t="shared" si="7"/>
        <v>518447195</v>
      </c>
      <c r="F42" s="157">
        <f>'[4]12.2'!F42</f>
        <v>518299032</v>
      </c>
      <c r="G42" s="85">
        <f t="shared" si="8"/>
        <v>148163</v>
      </c>
      <c r="K42" s="2"/>
      <c r="M42" s="22">
        <f t="shared" ref="M42:M43" si="9">G42/F42</f>
        <v>2.8586393346765888E-4</v>
      </c>
    </row>
    <row r="43" spans="1:13" x14ac:dyDescent="0.2">
      <c r="A43" t="str">
        <f t="shared" si="4"/>
        <v>2023</v>
      </c>
      <c r="B43" s="23"/>
      <c r="C43" s="157">
        <f>'[4]12.2'!C43</f>
        <v>130162738</v>
      </c>
      <c r="D43" s="157">
        <f>'[4]12.2'!D43</f>
        <v>522931821</v>
      </c>
      <c r="E43" s="26">
        <f t="shared" si="7"/>
        <v>653094559</v>
      </c>
      <c r="F43" s="157">
        <f>'[4]12.2'!F43</f>
        <v>653043231</v>
      </c>
      <c r="G43" s="85">
        <f t="shared" si="8"/>
        <v>51328</v>
      </c>
      <c r="K43" s="2"/>
      <c r="M43" s="22">
        <f t="shared" si="9"/>
        <v>7.8598165578413294E-5</v>
      </c>
    </row>
    <row r="44" spans="1:13" x14ac:dyDescent="0.2">
      <c r="A44" s="146"/>
      <c r="B44" s="146"/>
      <c r="C44" s="146"/>
      <c r="D44" s="146"/>
      <c r="E44" s="146"/>
      <c r="F44" s="146"/>
      <c r="G44" s="146"/>
      <c r="K44" s="2"/>
    </row>
    <row r="45" spans="1:13" x14ac:dyDescent="0.2">
      <c r="A45" t="s">
        <v>9</v>
      </c>
      <c r="C45" s="50">
        <f>SUM(C14:C44)</f>
        <v>1897102288.1499999</v>
      </c>
      <c r="D45" s="50">
        <f t="shared" ref="D45:G45" si="10">SUM(D14:D44)</f>
        <v>6361008716.9099998</v>
      </c>
      <c r="E45" s="50">
        <f t="shared" si="10"/>
        <v>8258111005.0599995</v>
      </c>
      <c r="F45" s="50">
        <f t="shared" si="10"/>
        <v>8253454969</v>
      </c>
      <c r="G45" s="50">
        <f t="shared" si="10"/>
        <v>4656036.0599992871</v>
      </c>
      <c r="K45" s="2"/>
    </row>
    <row r="46" spans="1:13" ht="12" thickBot="1" x14ac:dyDescent="0.25">
      <c r="A46" s="6"/>
      <c r="B46" s="6"/>
      <c r="C46" s="6"/>
      <c r="D46" s="6"/>
      <c r="E46" s="6"/>
      <c r="F46" s="6"/>
      <c r="G46" s="6"/>
      <c r="K46" s="2"/>
      <c r="L46" s="59"/>
    </row>
    <row r="47" spans="1:13" ht="12" thickTop="1" x14ac:dyDescent="0.2">
      <c r="K47" s="2"/>
    </row>
    <row r="48" spans="1:13" x14ac:dyDescent="0.2">
      <c r="A48" t="s">
        <v>17</v>
      </c>
      <c r="K48" s="2"/>
    </row>
    <row r="49" spans="2:11" x14ac:dyDescent="0.2">
      <c r="B49" s="12" t="str">
        <f>'[4]12.2'!$B$49</f>
        <v>(2), (3) Provided by TWIA, as of 12/31/2023</v>
      </c>
      <c r="K49" s="2"/>
    </row>
    <row r="50" spans="2:11" x14ac:dyDescent="0.2">
      <c r="B50" s="12" t="str">
        <f>E12&amp;" = "&amp;C12&amp;" + "&amp;D12</f>
        <v>(4) = (2) + (3)</v>
      </c>
      <c r="K50" s="2"/>
    </row>
    <row r="51" spans="2:11" x14ac:dyDescent="0.2">
      <c r="B51" s="12" t="str">
        <f>F12&amp;" Based on TWIA Annual Statements"</f>
        <v>(5) Based on TWIA Annual Statements</v>
      </c>
      <c r="K51" s="2"/>
    </row>
    <row r="52" spans="2:11" x14ac:dyDescent="0.2">
      <c r="B52" s="12" t="str">
        <f>G12&amp;" = "&amp;E12&amp;" - "&amp;F12</f>
        <v>(6) = (4) - (5)</v>
      </c>
      <c r="K52" s="2"/>
    </row>
    <row r="53" spans="2:11" x14ac:dyDescent="0.2">
      <c r="B53" s="12"/>
      <c r="K53" s="2"/>
    </row>
    <row r="54" spans="2:11" x14ac:dyDescent="0.2">
      <c r="K54" s="2"/>
    </row>
    <row r="55" spans="2:11" x14ac:dyDescent="0.2">
      <c r="K55" s="2"/>
    </row>
    <row r="56" spans="2:11" x14ac:dyDescent="0.2">
      <c r="K56" s="2"/>
    </row>
    <row r="57" spans="2:11" x14ac:dyDescent="0.2">
      <c r="K57" s="2"/>
    </row>
    <row r="58" spans="2:11" x14ac:dyDescent="0.2">
      <c r="K58" s="2"/>
    </row>
    <row r="59" spans="2:11" x14ac:dyDescent="0.2">
      <c r="K59" s="2"/>
    </row>
    <row r="60" spans="2:11" x14ac:dyDescent="0.2">
      <c r="K60" s="2"/>
    </row>
    <row r="61" spans="2:11" x14ac:dyDescent="0.2">
      <c r="C61" s="12"/>
      <c r="K61" s="2"/>
    </row>
    <row r="62" spans="2:11" x14ac:dyDescent="0.2">
      <c r="K62" s="2"/>
    </row>
    <row r="63" spans="2:11" x14ac:dyDescent="0.2">
      <c r="K63" s="2"/>
    </row>
    <row r="64" spans="2:11" x14ac:dyDescent="0.2">
      <c r="H64" s="19"/>
      <c r="I64" s="19"/>
      <c r="K64" s="2"/>
    </row>
    <row r="65" spans="1:11" x14ac:dyDescent="0.2">
      <c r="A65" s="41"/>
      <c r="C65" s="31"/>
      <c r="D65" s="31"/>
      <c r="E65" s="31"/>
      <c r="F65" s="31"/>
      <c r="G65" s="19"/>
      <c r="H65" s="19"/>
      <c r="I65" s="19"/>
      <c r="K65" s="2"/>
    </row>
    <row r="66" spans="1:11" x14ac:dyDescent="0.2">
      <c r="A66" s="41"/>
      <c r="C66" s="31"/>
      <c r="D66" s="31"/>
      <c r="E66" s="31"/>
      <c r="F66" s="31"/>
      <c r="G66" s="19"/>
      <c r="H66" s="19"/>
      <c r="I66" s="19"/>
      <c r="K66" s="2"/>
    </row>
    <row r="67" spans="1:11" x14ac:dyDescent="0.2">
      <c r="A67" s="41"/>
      <c r="C67" s="31"/>
      <c r="D67" s="31"/>
      <c r="E67" s="31"/>
      <c r="F67" s="31"/>
      <c r="G67" s="19"/>
      <c r="H67" s="19"/>
      <c r="I67" s="19"/>
      <c r="K67" s="2"/>
    </row>
    <row r="68" spans="1:11" x14ac:dyDescent="0.2">
      <c r="A68" s="41"/>
      <c r="C68" s="31"/>
      <c r="D68" s="31"/>
      <c r="E68" s="31"/>
      <c r="F68" s="31"/>
      <c r="G68" s="19"/>
      <c r="H68" s="19"/>
      <c r="I68" s="19"/>
      <c r="K68" s="2"/>
    </row>
    <row r="69" spans="1:11" x14ac:dyDescent="0.2">
      <c r="A69" s="41"/>
      <c r="C69" s="31"/>
      <c r="D69" s="31"/>
      <c r="E69" s="31"/>
      <c r="F69" s="31"/>
      <c r="G69" s="19"/>
      <c r="H69" s="19"/>
      <c r="I69" s="19"/>
      <c r="K69" s="2"/>
    </row>
    <row r="70" spans="1:11" x14ac:dyDescent="0.2">
      <c r="A70" s="41"/>
      <c r="C70" s="31"/>
      <c r="D70" s="31"/>
      <c r="E70" s="31"/>
      <c r="F70" s="31"/>
      <c r="G70" s="19"/>
      <c r="H70" s="19"/>
      <c r="I70" s="19"/>
      <c r="K70" s="2"/>
    </row>
    <row r="71" spans="1:11" ht="12" thickBot="1" x14ac:dyDescent="0.25">
      <c r="A71" s="41"/>
      <c r="C71" s="31"/>
      <c r="D71" s="31"/>
      <c r="E71" s="31"/>
      <c r="F71" s="31"/>
      <c r="G71" s="19"/>
      <c r="H71" s="20"/>
      <c r="I71" s="20"/>
      <c r="K71" s="2"/>
    </row>
    <row r="72" spans="1:11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3"/>
    </row>
    <row r="74" spans="1:11" x14ac:dyDescent="0.2">
      <c r="B74" s="23"/>
      <c r="C74" s="42"/>
      <c r="D74" s="42"/>
      <c r="E74" s="42"/>
      <c r="F74" s="42"/>
      <c r="G74" s="22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45</vt:i4>
      </vt:variant>
    </vt:vector>
  </HeadingPairs>
  <TitlesOfParts>
    <vt:vector size="91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2.3e</vt:lpstr>
      <vt:lpstr>2.4a</vt:lpstr>
      <vt:lpstr>2.4b</vt:lpstr>
      <vt:lpstr>2.4c</vt:lpstr>
      <vt:lpstr>2.4d</vt:lpstr>
      <vt:lpstr>2.5</vt:lpstr>
      <vt:lpstr>3.1 ldf</vt:lpstr>
      <vt:lpstr>3.2 premium trend</vt:lpstr>
      <vt:lpstr>3.3a</vt:lpstr>
      <vt:lpstr>3.3b</vt:lpstr>
      <vt:lpstr>3.3c</vt:lpstr>
      <vt:lpstr>3.3d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</vt:lpstr>
      <vt:lpstr>9.1a</vt:lpstr>
      <vt:lpstr>9.1b</vt:lpstr>
      <vt:lpstr>9.1c</vt:lpstr>
      <vt:lpstr>9.1d</vt:lpstr>
      <vt:lpstr>9.2</vt:lpstr>
      <vt:lpstr>10.1</vt:lpstr>
      <vt:lpstr>10.2</vt:lpstr>
      <vt:lpstr>11</vt:lpstr>
      <vt:lpstr>'1'!Print_Area</vt:lpstr>
      <vt:lpstr>'10.1'!Print_Area</vt:lpstr>
      <vt:lpstr>'10.2'!Print_Area</vt:lpstr>
      <vt:lpstr>'11'!Print_Area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'2.3e'!Print_Area</vt:lpstr>
      <vt:lpstr>'2.4a'!Print_Area</vt:lpstr>
      <vt:lpstr>'2.4b'!Print_Area</vt:lpstr>
      <vt:lpstr>'2.4c'!Print_Area</vt:lpstr>
      <vt:lpstr>'2.4d'!Print_Area</vt:lpstr>
      <vt:lpstr>'2.5'!Print_Area</vt:lpstr>
      <vt:lpstr>'3.1 ldf'!Print_Area</vt:lpstr>
      <vt:lpstr>'3.2 premium trend'!Print_Area</vt:lpstr>
      <vt:lpstr>'3.3a'!Print_Area</vt:lpstr>
      <vt:lpstr>'3.3b'!Print_Area</vt:lpstr>
      <vt:lpstr>'3.3c'!Print_Area</vt:lpstr>
      <vt:lpstr>'3.3d'!Print_Area</vt:lpstr>
      <vt:lpstr>'4'!Print_Area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'8'!Print_Area</vt:lpstr>
      <vt:lpstr>'9.1a'!Print_Area</vt:lpstr>
      <vt:lpstr>'9.1b'!Print_Area</vt:lpstr>
      <vt:lpstr>'9.1c'!Print_Area</vt:lpstr>
      <vt:lpstr>'9.1d'!Print_Area</vt:lpstr>
      <vt:lpstr>'9.2'!Print_Area</vt:lpstr>
      <vt:lpstr>'Table of Contents'!Print_Area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Jim Murphy</cp:lastModifiedBy>
  <cp:lastPrinted>2024-06-26T19:04:20Z</cp:lastPrinted>
  <dcterms:created xsi:type="dcterms:W3CDTF">2001-12-17T21:49:07Z</dcterms:created>
  <dcterms:modified xsi:type="dcterms:W3CDTF">2024-07-01T20:26:38Z</dcterms:modified>
</cp:coreProperties>
</file>