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0 Rate Review\Webpage Publication\"/>
    </mc:Choice>
  </mc:AlternateContent>
  <xr:revisionPtr revIDLastSave="0" documentId="13_ncr:1_{E121A9E3-13A3-4141-87CB-270997FFCF2F}" xr6:coauthVersionLast="44" xr6:coauthVersionMax="44" xr10:uidLastSave="{00000000-0000-0000-0000-000000000000}"/>
  <bookViews>
    <workbookView xWindow="-120" yWindow="-120" windowWidth="29040" windowHeight="15840" tabRatio="914" xr2:uid="{B012DC09-D67D-4D0A-BED9-E2C6C7FB96C4}"/>
  </bookViews>
  <sheets>
    <sheet name="Cover Page" sheetId="61" r:id="rId1"/>
    <sheet name="Table of Contents" sheetId="62" r:id="rId2"/>
    <sheet name="1" sheetId="1" r:id="rId3"/>
    <sheet name="2.1" sheetId="2" r:id="rId4"/>
    <sheet name="2.2a" sheetId="3" r:id="rId5"/>
    <sheet name="2.2b" sheetId="4" r:id="rId6"/>
    <sheet name="2.2c" sheetId="5" r:id="rId7"/>
    <sheet name="2.2d" sheetId="6" r:id="rId8"/>
    <sheet name="2.3a" sheetId="7" r:id="rId9"/>
    <sheet name="2.3b" sheetId="8" r:id="rId10"/>
    <sheet name="2.3c" sheetId="9" r:id="rId11"/>
    <sheet name="2.3d" sheetId="10" r:id="rId12"/>
    <sheet name="2.4a" sheetId="11" r:id="rId13"/>
    <sheet name="2.4b" sheetId="12" r:id="rId14"/>
    <sheet name="2.4c" sheetId="13" r:id="rId15"/>
    <sheet name="2.4d" sheetId="14" r:id="rId16"/>
    <sheet name="trend 2.5" sheetId="15" r:id="rId17"/>
    <sheet name="ldf 3.1a" sheetId="16" r:id="rId18"/>
    <sheet name="ldf 3.1b" sheetId="60" r:id="rId19"/>
    <sheet name="3.2 premium trend" sheetId="17" r:id="rId20"/>
    <sheet name="3.3a" sheetId="18" r:id="rId21"/>
    <sheet name="3.3b" sheetId="19" r:id="rId22"/>
    <sheet name="3.3c" sheetId="20" r:id="rId23"/>
    <sheet name="3.3d" sheetId="21" r:id="rId24"/>
    <sheet name="4.1" sheetId="22" r:id="rId25"/>
    <sheet name="4.2" sheetId="23" r:id="rId26"/>
    <sheet name="4.3AS loss Dev" sheetId="24" r:id="rId27"/>
    <sheet name="4.4" sheetId="25" r:id="rId28"/>
    <sheet name="4.5AS LAE Dev" sheetId="26" r:id="rId29"/>
    <sheet name="5" sheetId="27" r:id="rId30"/>
    <sheet name="6.1" sheetId="28" r:id="rId31"/>
    <sheet name="6.2" sheetId="29" r:id="rId32"/>
    <sheet name="6.3" sheetId="30" r:id="rId33"/>
    <sheet name="6.4" sheetId="31" r:id="rId34"/>
    <sheet name="6.5" sheetId="32" r:id="rId35"/>
    <sheet name="6.6" sheetId="33" r:id="rId36"/>
    <sheet name="6.7" sheetId="34" r:id="rId37"/>
    <sheet name="7.1" sheetId="35" r:id="rId38"/>
    <sheet name="7.2" sheetId="36" r:id="rId39"/>
    <sheet name="8.1" sheetId="37" r:id="rId40"/>
    <sheet name="8.2" sheetId="38" r:id="rId41"/>
    <sheet name="9" sheetId="40" r:id="rId42"/>
    <sheet name="10.1a" sheetId="41" r:id="rId43"/>
    <sheet name="10.1b" sheetId="42" r:id="rId44"/>
    <sheet name="10.1c" sheetId="43" r:id="rId45"/>
    <sheet name="10.1d" sheetId="44" r:id="rId46"/>
    <sheet name="10.2" sheetId="45" r:id="rId47"/>
    <sheet name="11.1" sheetId="46" r:id="rId48"/>
    <sheet name="11.2" sheetId="58" r:id="rId49"/>
    <sheet name="12" sheetId="48" r:id="rId50"/>
  </sheets>
  <externalReferences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xlnm.Print_Area" localSheetId="2">'1'!$A$1:$K$70</definedName>
    <definedName name="_xlnm.Print_Area" localSheetId="42">'10.1a'!$A$1:$J$67</definedName>
    <definedName name="_xlnm.Print_Area" localSheetId="43">'10.1b'!$A$1:$J$63</definedName>
    <definedName name="_xlnm.Print_Area" localSheetId="44">'10.1c'!$A$1:$J$67</definedName>
    <definedName name="_xlnm.Print_Area" localSheetId="45">'10.1d'!$A$1:$J$67</definedName>
    <definedName name="_xlnm.Print_Area" localSheetId="46">'10.2'!$A$1:$J$69</definedName>
    <definedName name="_xlnm.Print_Area" localSheetId="47">'11.1'!$A$1:$J$67</definedName>
    <definedName name="_xlnm.Print_Area" localSheetId="48">'11.2'!$A$1:$H$68</definedName>
    <definedName name="_xlnm.Print_Area" localSheetId="49">'12'!$A$1:$J$71</definedName>
    <definedName name="_xlnm.Print_Area" localSheetId="3">'2.1'!$A$1:$J$68</definedName>
    <definedName name="_xlnm.Print_Area" localSheetId="4">'2.2a'!$A$1:$J$68</definedName>
    <definedName name="_xlnm.Print_Area" localSheetId="5">'2.2b'!$A$1:$J$68</definedName>
    <definedName name="_xlnm.Print_Area" localSheetId="6">'2.2c'!$A$1:$J$68</definedName>
    <definedName name="_xlnm.Print_Area" localSheetId="7">'2.2d'!$A$1:$J$68</definedName>
    <definedName name="_xlnm.Print_Area" localSheetId="8">'2.3a'!$A$1:$J$68</definedName>
    <definedName name="_xlnm.Print_Area" localSheetId="9">'2.3b'!$A$1:$J$68</definedName>
    <definedName name="_xlnm.Print_Area" localSheetId="10">'2.3c'!$A$1:$J$68</definedName>
    <definedName name="_xlnm.Print_Area" localSheetId="11">'2.3d'!$A$1:$J$68</definedName>
    <definedName name="_xlnm.Print_Area" localSheetId="12">'2.4a'!$A$1:$J$68</definedName>
    <definedName name="_xlnm.Print_Area" localSheetId="13">'2.4b'!$A$1:$J$68</definedName>
    <definedName name="_xlnm.Print_Area" localSheetId="14">'2.4c'!$A$1:$J$68</definedName>
    <definedName name="_xlnm.Print_Area" localSheetId="15">'2.4d'!$A$1:$J$68</definedName>
    <definedName name="_xlnm.Print_Area" localSheetId="19">'3.2 premium trend'!$A$1:$L$70</definedName>
    <definedName name="_xlnm.Print_Area" localSheetId="20">'3.3a'!$A$1:$L$68</definedName>
    <definedName name="_xlnm.Print_Area" localSheetId="21">'3.3b'!$A$1:$L$62</definedName>
    <definedName name="_xlnm.Print_Area" localSheetId="22">'3.3c'!$A$1:$L$68</definedName>
    <definedName name="_xlnm.Print_Area" localSheetId="23">'3.3d'!$A$1:$L$69</definedName>
    <definedName name="_xlnm.Print_Area" localSheetId="24">'4.1'!$A$1:$J$71</definedName>
    <definedName name="_xlnm.Print_Area" localSheetId="25">'4.2'!$A$1:$K$71</definedName>
    <definedName name="_xlnm.Print_Area" localSheetId="26">'4.3AS loss Dev'!$A$1:$K$68</definedName>
    <definedName name="_xlnm.Print_Area" localSheetId="27">'4.4'!$A$1:$J$70</definedName>
    <definedName name="_xlnm.Print_Area" localSheetId="28">'4.5AS LAE Dev'!$A$1:$K$70</definedName>
    <definedName name="_xlnm.Print_Area" localSheetId="29">'5'!$A$1:$H$42</definedName>
    <definedName name="_xlnm.Print_Area" localSheetId="30">'6.1'!$A$1:$K$57</definedName>
    <definedName name="_xlnm.Print_Area" localSheetId="31">'6.2'!$A$1:$J$76</definedName>
    <definedName name="_xlnm.Print_Area" localSheetId="32">'6.3'!$A$1:$I$71</definedName>
    <definedName name="_xlnm.Print_Area" localSheetId="33">'6.4'!$A$1:$I$62</definedName>
    <definedName name="_xlnm.Print_Area" localSheetId="34">'6.5'!$A$1:$I$62</definedName>
    <definedName name="_xlnm.Print_Area" localSheetId="35">'6.6'!$A$1:$I$61</definedName>
    <definedName name="_xlnm.Print_Area" localSheetId="36">'6.7'!$A$1:$I$61</definedName>
    <definedName name="_xlnm.Print_Area" localSheetId="37">'7.1'!$A$1:$K$68</definedName>
    <definedName name="_xlnm.Print_Area" localSheetId="38">'7.2'!$A$1:$K$68</definedName>
    <definedName name="_xlnm.Print_Area" localSheetId="39">'8.1'!$A$1:$K$68</definedName>
    <definedName name="_xlnm.Print_Area" localSheetId="40">'8.2'!$A$1:$K$68</definedName>
    <definedName name="_xlnm.Print_Area" localSheetId="41">'9'!$A$1:$J$68</definedName>
    <definedName name="_xlnm.Print_Area" localSheetId="17">'ldf 3.1a'!$A$1:$L$50</definedName>
    <definedName name="_xlnm.Print_Area" localSheetId="18">'ldf 3.1b'!$A$1:$L$50</definedName>
    <definedName name="_xlnm.Print_Area" localSheetId="1">'Table of Contents'!$A$1:$I$56</definedName>
    <definedName name="_xlnm.Print_Area" localSheetId="16">'trend 2.5'!$A$1:$L$63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E25" i="1"/>
  <c r="E56" i="62" l="1"/>
  <c r="A56" i="62"/>
  <c r="G55" i="62"/>
  <c r="E55" i="62"/>
  <c r="C55" i="62"/>
  <c r="A55" i="62"/>
  <c r="G54" i="62"/>
  <c r="E54" i="62"/>
  <c r="A54" i="62"/>
  <c r="G53" i="62"/>
  <c r="E53" i="62"/>
  <c r="A53" i="62"/>
  <c r="G52" i="62"/>
  <c r="E52" i="62"/>
  <c r="C52" i="62"/>
  <c r="A52" i="62"/>
  <c r="G51" i="62"/>
  <c r="E51" i="62"/>
  <c r="C51" i="62"/>
  <c r="A51" i="62"/>
  <c r="G50" i="62"/>
  <c r="E50" i="62"/>
  <c r="C50" i="62"/>
  <c r="A50" i="62"/>
  <c r="G49" i="62"/>
  <c r="E49" i="62"/>
  <c r="C49" i="62"/>
  <c r="A49" i="62"/>
  <c r="E48" i="62"/>
  <c r="G47" i="62"/>
  <c r="E47" i="62"/>
  <c r="A47" i="62"/>
  <c r="G46" i="62"/>
  <c r="E46" i="62"/>
  <c r="A46" i="62"/>
  <c r="G45" i="62"/>
  <c r="E45" i="62"/>
  <c r="A45" i="62"/>
  <c r="G44" i="62"/>
  <c r="E44" i="62"/>
  <c r="A44" i="62"/>
  <c r="G43" i="62"/>
  <c r="E43" i="62"/>
  <c r="C43" i="62"/>
  <c r="A43" i="62"/>
  <c r="G42" i="62"/>
  <c r="E42" i="62"/>
  <c r="C42" i="62"/>
  <c r="A42" i="62"/>
  <c r="G41" i="62"/>
  <c r="E41" i="62"/>
  <c r="C41" i="62"/>
  <c r="A41" i="62"/>
  <c r="G40" i="62"/>
  <c r="E40" i="62"/>
  <c r="C40" i="62"/>
  <c r="A40" i="62"/>
  <c r="A39" i="62"/>
  <c r="G38" i="62"/>
  <c r="E38" i="62"/>
  <c r="A38" i="62"/>
  <c r="G37" i="62"/>
  <c r="E37" i="62"/>
  <c r="A37" i="62"/>
  <c r="E36" i="62"/>
  <c r="A36" i="62"/>
  <c r="G35" i="62"/>
  <c r="E35" i="62"/>
  <c r="C35" i="62"/>
  <c r="A35" i="62"/>
  <c r="G34" i="62"/>
  <c r="E34" i="62"/>
  <c r="A34" i="62"/>
  <c r="G33" i="62"/>
  <c r="E33" i="62"/>
  <c r="C33" i="62"/>
  <c r="A33" i="62"/>
  <c r="G32" i="62"/>
  <c r="E32" i="62"/>
  <c r="A32" i="62"/>
  <c r="G31" i="62"/>
  <c r="E31" i="62"/>
  <c r="A31" i="62"/>
  <c r="G30" i="62"/>
  <c r="E30" i="62"/>
  <c r="C30" i="62"/>
  <c r="A30" i="62"/>
  <c r="G29" i="62"/>
  <c r="E29" i="62"/>
  <c r="C29" i="62"/>
  <c r="A29" i="62"/>
  <c r="G28" i="62"/>
  <c r="E28" i="62"/>
  <c r="C28" i="62"/>
  <c r="A28" i="62"/>
  <c r="G27" i="62"/>
  <c r="E27" i="62"/>
  <c r="C27" i="62"/>
  <c r="A27" i="62"/>
  <c r="C26" i="62"/>
  <c r="A26" i="62"/>
  <c r="G25" i="62"/>
  <c r="E25" i="62"/>
  <c r="C25" i="62"/>
  <c r="A25" i="62"/>
  <c r="G24" i="62"/>
  <c r="E24" i="62"/>
  <c r="C24" i="62"/>
  <c r="A24" i="62"/>
  <c r="G23" i="62"/>
  <c r="E23" i="62"/>
  <c r="A23" i="62"/>
  <c r="G22" i="62"/>
  <c r="E22" i="62"/>
  <c r="C22" i="62"/>
  <c r="G21" i="62"/>
  <c r="E21" i="62"/>
  <c r="C21" i="62"/>
  <c r="G20" i="62"/>
  <c r="E20" i="62"/>
  <c r="C20" i="62"/>
  <c r="G19" i="62"/>
  <c r="E19" i="62"/>
  <c r="C19" i="62"/>
  <c r="G18" i="62"/>
  <c r="E18" i="62"/>
  <c r="C18" i="62"/>
  <c r="A18" i="62"/>
  <c r="G17" i="62"/>
  <c r="E17" i="62"/>
  <c r="C17" i="62"/>
  <c r="A17" i="62"/>
  <c r="G16" i="62"/>
  <c r="E16" i="62"/>
  <c r="C16" i="62"/>
  <c r="A16" i="62"/>
  <c r="G15" i="62"/>
  <c r="E15" i="62"/>
  <c r="C15" i="62"/>
  <c r="A15" i="62"/>
  <c r="G14" i="62"/>
  <c r="E14" i="62"/>
  <c r="C14" i="62"/>
  <c r="A14" i="62"/>
  <c r="G13" i="62"/>
  <c r="E13" i="62"/>
  <c r="C13" i="62"/>
  <c r="A13" i="62"/>
  <c r="G12" i="62"/>
  <c r="E12" i="62"/>
  <c r="C12" i="62"/>
  <c r="A12" i="62"/>
  <c r="G11" i="62"/>
  <c r="E11" i="62"/>
  <c r="C11" i="62"/>
  <c r="A11" i="62"/>
  <c r="G10" i="62"/>
  <c r="E10" i="62"/>
  <c r="C10" i="62"/>
  <c r="A10" i="62"/>
  <c r="E9" i="62"/>
  <c r="C9" i="62"/>
  <c r="E14" i="23" l="1"/>
  <c r="E15" i="23"/>
  <c r="E16" i="23"/>
  <c r="E17" i="23"/>
  <c r="E18" i="23"/>
  <c r="E19" i="23"/>
  <c r="E20" i="23"/>
  <c r="E21" i="23"/>
  <c r="E22" i="23"/>
  <c r="E23" i="23"/>
  <c r="B46" i="48"/>
  <c r="F39" i="48"/>
  <c r="D39" i="48"/>
  <c r="C39" i="48"/>
  <c r="F38" i="48"/>
  <c r="D38" i="48"/>
  <c r="C38" i="48"/>
  <c r="F37" i="48"/>
  <c r="D37" i="48"/>
  <c r="C37" i="48"/>
  <c r="F36" i="48"/>
  <c r="D36" i="48"/>
  <c r="C36" i="48"/>
  <c r="F35" i="48"/>
  <c r="D35" i="48"/>
  <c r="C35" i="48"/>
  <c r="F34" i="48"/>
  <c r="D34" i="48"/>
  <c r="C34" i="48"/>
  <c r="F33" i="48"/>
  <c r="D33" i="48"/>
  <c r="C33" i="48"/>
  <c r="F32" i="48"/>
  <c r="D32" i="48"/>
  <c r="C32" i="48"/>
  <c r="F31" i="48"/>
  <c r="D31" i="48"/>
  <c r="C31" i="48"/>
  <c r="F30" i="48"/>
  <c r="D30" i="48"/>
  <c r="C30" i="48"/>
  <c r="F29" i="48"/>
  <c r="D29" i="48"/>
  <c r="C29" i="48"/>
  <c r="F28" i="48"/>
  <c r="D28" i="48"/>
  <c r="C28" i="48"/>
  <c r="F27" i="48"/>
  <c r="D27" i="48"/>
  <c r="C27" i="48"/>
  <c r="F26" i="48"/>
  <c r="D26" i="48"/>
  <c r="C26" i="48"/>
  <c r="F25" i="48"/>
  <c r="D25" i="48"/>
  <c r="C25" i="48"/>
  <c r="F24" i="48"/>
  <c r="D24" i="48"/>
  <c r="C24" i="48"/>
  <c r="F23" i="48"/>
  <c r="D23" i="48"/>
  <c r="C23" i="48"/>
  <c r="F22" i="48"/>
  <c r="D22" i="48"/>
  <c r="C22" i="48"/>
  <c r="F21" i="48"/>
  <c r="D21" i="48"/>
  <c r="C21" i="48"/>
  <c r="F20" i="48"/>
  <c r="D20" i="48"/>
  <c r="C20" i="48"/>
  <c r="F19" i="48"/>
  <c r="D19" i="48"/>
  <c r="C19" i="48"/>
  <c r="F18" i="48"/>
  <c r="D18" i="48"/>
  <c r="C18" i="48"/>
  <c r="F17" i="48"/>
  <c r="D17" i="48"/>
  <c r="C17" i="48"/>
  <c r="F16" i="48"/>
  <c r="D16" i="48"/>
  <c r="C16" i="48"/>
  <c r="F15" i="48"/>
  <c r="D15" i="48"/>
  <c r="C15" i="48"/>
  <c r="F14" i="48"/>
  <c r="D14" i="48"/>
  <c r="C14" i="48"/>
  <c r="B46" i="58"/>
  <c r="B45" i="58"/>
  <c r="B43" i="58"/>
  <c r="D34" i="58"/>
  <c r="D32" i="58"/>
  <c r="L25" i="58"/>
  <c r="D22" i="58"/>
  <c r="J18" i="58"/>
  <c r="D18" i="58"/>
  <c r="D13" i="58"/>
  <c r="C13" i="58"/>
  <c r="K10" i="58"/>
  <c r="J10" i="58"/>
  <c r="D10" i="58"/>
  <c r="B60" i="46"/>
  <c r="B59" i="46"/>
  <c r="B58" i="46"/>
  <c r="B57" i="46"/>
  <c r="B56" i="46"/>
  <c r="B55" i="46"/>
  <c r="B54" i="46"/>
  <c r="B53" i="46"/>
  <c r="B52" i="46"/>
  <c r="G46" i="46"/>
  <c r="B46" i="46"/>
  <c r="A46" i="46"/>
  <c r="G44" i="46"/>
  <c r="B44" i="46"/>
  <c r="A44" i="46"/>
  <c r="G42" i="46"/>
  <c r="B42" i="46"/>
  <c r="A42" i="46"/>
  <c r="G40" i="46"/>
  <c r="B40" i="46"/>
  <c r="A40" i="46"/>
  <c r="G38" i="46"/>
  <c r="G36" i="46"/>
  <c r="F35" i="46"/>
  <c r="E35" i="46"/>
  <c r="D35" i="46"/>
  <c r="G32" i="46"/>
  <c r="F29" i="46"/>
  <c r="E29" i="46"/>
  <c r="D29" i="46"/>
  <c r="F26" i="46"/>
  <c r="E26" i="46"/>
  <c r="D26" i="46"/>
  <c r="G23" i="46"/>
  <c r="F22" i="46"/>
  <c r="E22" i="46"/>
  <c r="D22" i="46"/>
  <c r="G19" i="46"/>
  <c r="F18" i="46"/>
  <c r="E18" i="46"/>
  <c r="D18" i="46"/>
  <c r="F15" i="46"/>
  <c r="E15" i="46"/>
  <c r="D15" i="46"/>
  <c r="F14" i="46"/>
  <c r="E14" i="46"/>
  <c r="D14" i="46"/>
  <c r="B33" i="35"/>
  <c r="I49" i="26"/>
  <c r="H49" i="26"/>
  <c r="G49" i="26"/>
  <c r="F49" i="26"/>
  <c r="E49" i="26"/>
  <c r="D49" i="26"/>
  <c r="C49" i="26"/>
  <c r="C24" i="26"/>
  <c r="M23" i="26"/>
  <c r="D23" i="26"/>
  <c r="C23" i="26"/>
  <c r="E22" i="26"/>
  <c r="D22" i="26"/>
  <c r="C22" i="26"/>
  <c r="F21" i="26"/>
  <c r="E21" i="26"/>
  <c r="D21" i="26"/>
  <c r="C21" i="26"/>
  <c r="G20" i="26"/>
  <c r="F20" i="26"/>
  <c r="E20" i="26"/>
  <c r="D20" i="26"/>
  <c r="C20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B60" i="25"/>
  <c r="B58" i="25"/>
  <c r="G52" i="25"/>
  <c r="F52" i="25"/>
  <c r="E52" i="25"/>
  <c r="D52" i="25"/>
  <c r="C52" i="25"/>
  <c r="G51" i="25"/>
  <c r="F51" i="25"/>
  <c r="E51" i="25"/>
  <c r="D51" i="25"/>
  <c r="C51" i="25"/>
  <c r="G50" i="25"/>
  <c r="F50" i="25"/>
  <c r="E50" i="25"/>
  <c r="D50" i="25"/>
  <c r="C50" i="25"/>
  <c r="G49" i="25"/>
  <c r="F49" i="25"/>
  <c r="E49" i="25"/>
  <c r="D49" i="25"/>
  <c r="C49" i="25"/>
  <c r="G48" i="25"/>
  <c r="F48" i="25"/>
  <c r="E48" i="25"/>
  <c r="D48" i="25"/>
  <c r="C48" i="25"/>
  <c r="G47" i="25"/>
  <c r="F47" i="25"/>
  <c r="E47" i="25"/>
  <c r="D47" i="25"/>
  <c r="C47" i="25"/>
  <c r="G46" i="25"/>
  <c r="F46" i="25"/>
  <c r="E46" i="25"/>
  <c r="D46" i="25"/>
  <c r="C46" i="25"/>
  <c r="G45" i="25"/>
  <c r="F45" i="25"/>
  <c r="E45" i="25"/>
  <c r="D45" i="25"/>
  <c r="C45" i="25"/>
  <c r="G44" i="25"/>
  <c r="F44" i="25"/>
  <c r="E44" i="25"/>
  <c r="D44" i="25"/>
  <c r="C44" i="25"/>
  <c r="G43" i="25"/>
  <c r="F43" i="25"/>
  <c r="E43" i="25"/>
  <c r="D43" i="25"/>
  <c r="C43" i="25"/>
  <c r="G42" i="25"/>
  <c r="F42" i="25"/>
  <c r="E42" i="25"/>
  <c r="D42" i="25"/>
  <c r="C42" i="25"/>
  <c r="G41" i="25"/>
  <c r="F41" i="25"/>
  <c r="E41" i="25"/>
  <c r="D41" i="25"/>
  <c r="C41" i="25"/>
  <c r="G40" i="25"/>
  <c r="F40" i="25"/>
  <c r="E40" i="25"/>
  <c r="G39" i="25"/>
  <c r="F39" i="25"/>
  <c r="E39" i="25"/>
  <c r="G38" i="25"/>
  <c r="F38" i="25"/>
  <c r="E38" i="25"/>
  <c r="G37" i="25"/>
  <c r="F37" i="25"/>
  <c r="E37" i="25"/>
  <c r="G36" i="25"/>
  <c r="F36" i="25"/>
  <c r="E36" i="25"/>
  <c r="G35" i="25"/>
  <c r="F35" i="25"/>
  <c r="E35" i="25"/>
  <c r="G34" i="25"/>
  <c r="F34" i="25"/>
  <c r="E34" i="25"/>
  <c r="G33" i="25"/>
  <c r="F33" i="25"/>
  <c r="E33" i="25"/>
  <c r="G32" i="25"/>
  <c r="F32" i="25"/>
  <c r="E32" i="25"/>
  <c r="G31" i="25"/>
  <c r="F31" i="25"/>
  <c r="E31" i="25"/>
  <c r="G30" i="25"/>
  <c r="F30" i="25"/>
  <c r="E30" i="25"/>
  <c r="G29" i="25"/>
  <c r="F29" i="25"/>
  <c r="E29" i="25"/>
  <c r="G28" i="25"/>
  <c r="F28" i="25"/>
  <c r="E28" i="25"/>
  <c r="G27" i="25"/>
  <c r="F27" i="25"/>
  <c r="E27" i="25"/>
  <c r="G26" i="25"/>
  <c r="F26" i="25"/>
  <c r="E26" i="25"/>
  <c r="G25" i="25"/>
  <c r="F25" i="25"/>
  <c r="E25" i="25"/>
  <c r="G24" i="25"/>
  <c r="F24" i="25"/>
  <c r="E24" i="25"/>
  <c r="G23" i="25"/>
  <c r="F23" i="25"/>
  <c r="E23" i="25"/>
  <c r="G22" i="25"/>
  <c r="F22" i="25"/>
  <c r="E22" i="25"/>
  <c r="G21" i="25"/>
  <c r="F21" i="25"/>
  <c r="E21" i="25"/>
  <c r="G20" i="25"/>
  <c r="F20" i="25"/>
  <c r="E20" i="25"/>
  <c r="G19" i="25"/>
  <c r="F19" i="25"/>
  <c r="E19" i="25"/>
  <c r="G18" i="25"/>
  <c r="G17" i="25"/>
  <c r="G16" i="25"/>
  <c r="G15" i="25"/>
  <c r="G14" i="25"/>
  <c r="G13" i="25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M23" i="24"/>
  <c r="C23" i="24"/>
  <c r="D22" i="24"/>
  <c r="C22" i="24"/>
  <c r="E21" i="24"/>
  <c r="D21" i="24"/>
  <c r="C21" i="24"/>
  <c r="F20" i="24"/>
  <c r="E20" i="24"/>
  <c r="D20" i="24"/>
  <c r="C20" i="24"/>
  <c r="G19" i="24"/>
  <c r="F19" i="24"/>
  <c r="E19" i="24"/>
  <c r="D19" i="24"/>
  <c r="C19" i="24"/>
  <c r="H18" i="24"/>
  <c r="G18" i="24"/>
  <c r="F18" i="24"/>
  <c r="E18" i="24"/>
  <c r="D18" i="24"/>
  <c r="C18" i="24"/>
  <c r="I17" i="24"/>
  <c r="H17" i="24"/>
  <c r="G17" i="24"/>
  <c r="F17" i="24"/>
  <c r="E17" i="24"/>
  <c r="D17" i="24"/>
  <c r="C17" i="24"/>
  <c r="I16" i="24"/>
  <c r="H16" i="24"/>
  <c r="G16" i="24"/>
  <c r="F16" i="24"/>
  <c r="E16" i="24"/>
  <c r="D16" i="24"/>
  <c r="C16" i="24"/>
  <c r="I15" i="24"/>
  <c r="H15" i="24"/>
  <c r="G15" i="24"/>
  <c r="F15" i="24"/>
  <c r="E15" i="24"/>
  <c r="D15" i="24"/>
  <c r="C15" i="24"/>
  <c r="I14" i="24"/>
  <c r="H14" i="24"/>
  <c r="G14" i="24"/>
  <c r="F14" i="24"/>
  <c r="E14" i="24"/>
  <c r="D14" i="24"/>
  <c r="C14" i="24"/>
  <c r="E53" i="23"/>
  <c r="D53" i="23"/>
  <c r="C53" i="23"/>
  <c r="E52" i="23"/>
  <c r="C52" i="23"/>
  <c r="E51" i="23"/>
  <c r="D51" i="23"/>
  <c r="C51" i="23"/>
  <c r="E50" i="23"/>
  <c r="D50" i="23"/>
  <c r="C50" i="23"/>
  <c r="E49" i="23"/>
  <c r="D49" i="23"/>
  <c r="C49" i="23"/>
  <c r="E48" i="23"/>
  <c r="D48" i="23"/>
  <c r="C48" i="23"/>
  <c r="E47" i="23"/>
  <c r="D47" i="23"/>
  <c r="C47" i="23"/>
  <c r="E46" i="23"/>
  <c r="D46" i="23"/>
  <c r="C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D52" i="23"/>
  <c r="E21" i="40" l="1"/>
  <c r="E20" i="40"/>
  <c r="E19" i="40"/>
  <c r="E18" i="40"/>
  <c r="E17" i="40"/>
  <c r="E16" i="40"/>
  <c r="E15" i="40"/>
  <c r="E14" i="40"/>
  <c r="B55" i="40"/>
  <c r="C64" i="17" l="1"/>
  <c r="A57" i="34"/>
  <c r="A57" i="33"/>
  <c r="A58" i="32"/>
  <c r="A58" i="31"/>
  <c r="G19" i="29"/>
  <c r="B75" i="29"/>
  <c r="D12" i="28"/>
  <c r="E13" i="28" l="1"/>
  <c r="C14" i="28"/>
  <c r="C15" i="28"/>
  <c r="C16" i="28"/>
  <c r="C13" i="28"/>
  <c r="B73" i="29" l="1"/>
  <c r="G13" i="29"/>
  <c r="E13" i="29"/>
  <c r="E14" i="29"/>
  <c r="E15" i="29"/>
  <c r="G15" i="29" s="1"/>
  <c r="E16" i="29"/>
  <c r="G16" i="29" s="1"/>
  <c r="G14" i="29"/>
  <c r="A14" i="29"/>
  <c r="A15" i="29" s="1"/>
  <c r="A16" i="29" s="1"/>
  <c r="K14" i="31" l="1"/>
  <c r="E17" i="29" l="1"/>
  <c r="E21" i="29" l="1"/>
  <c r="E14" i="31" l="1"/>
  <c r="D34" i="32" l="1"/>
  <c r="D34" i="31"/>
  <c r="D35" i="31"/>
  <c r="D35" i="32" s="1"/>
  <c r="D36" i="31"/>
  <c r="D36" i="32" s="1"/>
  <c r="D37" i="31"/>
  <c r="D37" i="32" s="1"/>
  <c r="D38" i="31"/>
  <c r="D38" i="32" s="1"/>
  <c r="D39" i="31"/>
  <c r="D39" i="32" s="1"/>
  <c r="D40" i="31"/>
  <c r="D40" i="32" s="1"/>
  <c r="D41" i="31"/>
  <c r="D41" i="32" s="1"/>
  <c r="D42" i="31"/>
  <c r="D42" i="32" s="1"/>
  <c r="D43" i="31"/>
  <c r="D43" i="32" s="1"/>
  <c r="D44" i="31"/>
  <c r="D44" i="32" s="1"/>
  <c r="D45" i="31"/>
  <c r="D45" i="32" s="1"/>
  <c r="D46" i="31"/>
  <c r="D46" i="32" s="1"/>
  <c r="D47" i="31"/>
  <c r="D47" i="32" s="1"/>
  <c r="D48" i="31"/>
  <c r="D48" i="32" s="1"/>
  <c r="D49" i="31"/>
  <c r="D49" i="32" s="1"/>
  <c r="D31" i="31"/>
  <c r="D32" i="31"/>
  <c r="D33" i="31"/>
  <c r="D50" i="31"/>
  <c r="D50" i="32" s="1"/>
  <c r="AT48" i="31" l="1"/>
  <c r="AT49" i="31" s="1"/>
  <c r="AU48" i="31"/>
  <c r="AU49" i="31" s="1"/>
  <c r="D14" i="31" l="1"/>
  <c r="D30" i="31" l="1"/>
  <c r="D20" i="31"/>
  <c r="D21" i="31"/>
  <c r="D22" i="31"/>
  <c r="D23" i="31"/>
  <c r="D24" i="31"/>
  <c r="D25" i="31"/>
  <c r="D26" i="31"/>
  <c r="D27" i="31"/>
  <c r="D28" i="31"/>
  <c r="D29" i="31"/>
  <c r="D19" i="31"/>
  <c r="V34" i="31" l="1"/>
  <c r="V47" i="31"/>
  <c r="V46" i="31"/>
  <c r="V45" i="31"/>
  <c r="V44" i="31"/>
  <c r="V43" i="31"/>
  <c r="V42" i="31"/>
  <c r="V41" i="31"/>
  <c r="V40" i="31"/>
  <c r="V39" i="31"/>
  <c r="V38" i="31"/>
  <c r="V37" i="31"/>
  <c r="V36" i="31"/>
  <c r="V33" i="31"/>
  <c r="V32" i="31"/>
  <c r="V31" i="31"/>
  <c r="V30" i="31"/>
  <c r="V29" i="31"/>
  <c r="V28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BG49" i="31"/>
  <c r="BF49" i="31"/>
  <c r="BE49" i="31"/>
  <c r="BD49" i="31"/>
  <c r="BC49" i="31"/>
  <c r="BB49" i="31"/>
  <c r="BA49" i="31"/>
  <c r="AZ49" i="31"/>
  <c r="AY49" i="31"/>
  <c r="AX49" i="31"/>
  <c r="AW49" i="31"/>
  <c r="AV49" i="31"/>
  <c r="V35" i="31"/>
  <c r="AS49" i="31"/>
  <c r="AR49" i="31"/>
  <c r="AQ49" i="31"/>
  <c r="AP49" i="31"/>
  <c r="AO49" i="31"/>
  <c r="AN49" i="31"/>
  <c r="AM49" i="31"/>
  <c r="AL49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X48" i="31"/>
  <c r="Y48" i="31"/>
  <c r="Z48" i="31"/>
  <c r="AA48" i="31"/>
  <c r="AB48" i="31"/>
  <c r="AC48" i="31"/>
  <c r="AD48" i="31"/>
  <c r="AE48" i="31"/>
  <c r="AF48" i="31"/>
  <c r="AG48" i="31"/>
  <c r="AH48" i="31"/>
  <c r="AI48" i="31"/>
  <c r="AJ48" i="31"/>
  <c r="AK48" i="31"/>
  <c r="AL48" i="31"/>
  <c r="AM48" i="31"/>
  <c r="AN48" i="31"/>
  <c r="AO48" i="31"/>
  <c r="AP48" i="31"/>
  <c r="AQ48" i="31"/>
  <c r="AR48" i="31"/>
  <c r="AS48" i="31"/>
  <c r="AY48" i="31"/>
  <c r="AZ48" i="31"/>
  <c r="BA48" i="31"/>
  <c r="BB48" i="31"/>
  <c r="BC48" i="31"/>
  <c r="BD48" i="31"/>
  <c r="BE48" i="31"/>
  <c r="BF48" i="31"/>
  <c r="BG48" i="31"/>
  <c r="W48" i="31"/>
  <c r="AX36" i="31"/>
  <c r="AW36" i="31"/>
  <c r="AW37" i="31"/>
  <c r="AW35" i="31"/>
  <c r="AW48" i="31" s="1"/>
  <c r="AV36" i="31"/>
  <c r="AV35" i="31" s="1"/>
  <c r="AV48" i="31" s="1"/>
  <c r="AU34" i="31"/>
  <c r="AU33" i="31"/>
  <c r="AT34" i="31"/>
  <c r="AT33" i="31" s="1"/>
  <c r="X13" i="31"/>
  <c r="Y13" i="31" s="1"/>
  <c r="Z13" i="31" s="1"/>
  <c r="AA13" i="31" s="1"/>
  <c r="AB13" i="31" s="1"/>
  <c r="AC13" i="31" s="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AP13" i="31" s="1"/>
  <c r="AQ13" i="31" s="1"/>
  <c r="AR13" i="31" s="1"/>
  <c r="AS13" i="31" s="1"/>
  <c r="AT13" i="31" s="1"/>
  <c r="AU13" i="31" s="1"/>
  <c r="AV13" i="31" s="1"/>
  <c r="AW13" i="31" s="1"/>
  <c r="AX13" i="31" s="1"/>
  <c r="AY13" i="31" s="1"/>
  <c r="AZ13" i="31" s="1"/>
  <c r="BA13" i="31" s="1"/>
  <c r="BB13" i="31" s="1"/>
  <c r="BC13" i="31" s="1"/>
  <c r="BD13" i="31" s="1"/>
  <c r="BE13" i="31" s="1"/>
  <c r="BF13" i="31" s="1"/>
  <c r="BG13" i="31" s="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39" i="31"/>
  <c r="T40" i="31"/>
  <c r="T41" i="31"/>
  <c r="T42" i="31"/>
  <c r="T43" i="31"/>
  <c r="T44" i="31"/>
  <c r="T45" i="31"/>
  <c r="T46" i="31"/>
  <c r="T47" i="31"/>
  <c r="T15" i="31"/>
  <c r="AX48" i="31" l="1"/>
  <c r="AX37" i="31"/>
  <c r="I17" i="15" l="1"/>
  <c r="I16" i="15"/>
  <c r="N32" i="18"/>
  <c r="B51" i="28"/>
  <c r="B48" i="28"/>
  <c r="C12" i="28"/>
  <c r="F12" i="28"/>
  <c r="D68" i="29" l="1"/>
  <c r="B58" i="23" l="1"/>
  <c r="C53" i="22" l="1"/>
  <c r="C15" i="41" l="1"/>
  <c r="C16" i="41"/>
  <c r="C17" i="41"/>
  <c r="C18" i="41"/>
  <c r="C19" i="41"/>
  <c r="C20" i="41"/>
  <c r="C21" i="41"/>
  <c r="C22" i="41"/>
  <c r="C23" i="41"/>
  <c r="C24" i="41"/>
  <c r="C14" i="41"/>
  <c r="C15" i="42" l="1"/>
  <c r="C16" i="42"/>
  <c r="C17" i="42"/>
  <c r="C18" i="42"/>
  <c r="C19" i="42"/>
  <c r="C20" i="42"/>
  <c r="C21" i="42"/>
  <c r="C22" i="42"/>
  <c r="C23" i="42"/>
  <c r="C24" i="42"/>
  <c r="C14" i="42"/>
  <c r="C15" i="43"/>
  <c r="C16" i="43"/>
  <c r="C17" i="43"/>
  <c r="C18" i="43"/>
  <c r="C19" i="43"/>
  <c r="C20" i="43"/>
  <c r="C21" i="43"/>
  <c r="C22" i="43"/>
  <c r="C23" i="43"/>
  <c r="C24" i="43"/>
  <c r="C14" i="43"/>
  <c r="C15" i="44"/>
  <c r="C16" i="44"/>
  <c r="C17" i="44"/>
  <c r="C18" i="44"/>
  <c r="C19" i="44"/>
  <c r="C20" i="44"/>
  <c r="C21" i="44"/>
  <c r="C22" i="44"/>
  <c r="C23" i="44"/>
  <c r="C24" i="44"/>
  <c r="C14" i="44"/>
  <c r="D15" i="11" l="1"/>
  <c r="D16" i="11"/>
  <c r="D17" i="11"/>
  <c r="D18" i="11"/>
  <c r="D19" i="11"/>
  <c r="D20" i="11"/>
  <c r="D21" i="11"/>
  <c r="D22" i="11"/>
  <c r="D23" i="11"/>
  <c r="D14" i="11"/>
  <c r="C15" i="11"/>
  <c r="C16" i="11"/>
  <c r="C17" i="11"/>
  <c r="C18" i="11"/>
  <c r="C19" i="11"/>
  <c r="C20" i="11"/>
  <c r="C21" i="11"/>
  <c r="C22" i="11"/>
  <c r="C23" i="11"/>
  <c r="C14" i="11"/>
  <c r="D15" i="12"/>
  <c r="D16" i="12"/>
  <c r="D17" i="12"/>
  <c r="D18" i="12"/>
  <c r="D19" i="12"/>
  <c r="D20" i="12"/>
  <c r="D21" i="12"/>
  <c r="D22" i="12"/>
  <c r="D23" i="12"/>
  <c r="D14" i="12"/>
  <c r="C15" i="12"/>
  <c r="C16" i="12"/>
  <c r="C17" i="12"/>
  <c r="C18" i="12"/>
  <c r="C19" i="12"/>
  <c r="C20" i="12"/>
  <c r="C21" i="12"/>
  <c r="C22" i="12"/>
  <c r="C23" i="12"/>
  <c r="C14" i="12"/>
  <c r="D15" i="13"/>
  <c r="D16" i="13"/>
  <c r="D17" i="13"/>
  <c r="D18" i="13"/>
  <c r="D19" i="13"/>
  <c r="D20" i="13"/>
  <c r="D21" i="13"/>
  <c r="D22" i="13"/>
  <c r="D23" i="13"/>
  <c r="D14" i="13"/>
  <c r="C15" i="14"/>
  <c r="D15" i="14"/>
  <c r="C16" i="14"/>
  <c r="D16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23" i="14"/>
  <c r="D14" i="14"/>
  <c r="C14" i="14"/>
  <c r="C15" i="13"/>
  <c r="C16" i="13"/>
  <c r="C17" i="13"/>
  <c r="C18" i="13"/>
  <c r="C19" i="13"/>
  <c r="C20" i="13"/>
  <c r="C21" i="13"/>
  <c r="C22" i="13"/>
  <c r="C23" i="13"/>
  <c r="C14" i="13"/>
  <c r="M22" i="11"/>
  <c r="L22" i="11"/>
  <c r="C26" i="14" l="1"/>
  <c r="A14" i="15"/>
  <c r="A15" i="15"/>
  <c r="A16" i="15"/>
  <c r="A17" i="15"/>
  <c r="A18" i="15"/>
  <c r="A19" i="15"/>
  <c r="A20" i="15"/>
  <c r="A21" i="15"/>
  <c r="A22" i="15"/>
  <c r="R14" i="15"/>
  <c r="R15" i="15"/>
  <c r="R16" i="15"/>
  <c r="R17" i="15"/>
  <c r="R18" i="15"/>
  <c r="R19" i="15"/>
  <c r="R20" i="15"/>
  <c r="R21" i="15"/>
  <c r="R22" i="15"/>
  <c r="K14" i="16" l="1"/>
  <c r="J14" i="16"/>
  <c r="I14" i="16"/>
  <c r="H14" i="16"/>
  <c r="G14" i="16"/>
  <c r="F14" i="16"/>
  <c r="E14" i="16"/>
  <c r="D14" i="16"/>
  <c r="C14" i="16"/>
  <c r="K15" i="16"/>
  <c r="J15" i="16"/>
  <c r="I15" i="16"/>
  <c r="H15" i="16"/>
  <c r="G15" i="16"/>
  <c r="F15" i="16"/>
  <c r="E15" i="16"/>
  <c r="D15" i="16"/>
  <c r="C15" i="16"/>
  <c r="J16" i="16"/>
  <c r="I16" i="16"/>
  <c r="H16" i="16"/>
  <c r="G16" i="16"/>
  <c r="F16" i="16"/>
  <c r="E16" i="16"/>
  <c r="D16" i="16"/>
  <c r="C16" i="16"/>
  <c r="I17" i="16"/>
  <c r="H17" i="16"/>
  <c r="G17" i="16"/>
  <c r="F17" i="16"/>
  <c r="E17" i="16"/>
  <c r="D17" i="16"/>
  <c r="C17" i="16"/>
  <c r="H18" i="16"/>
  <c r="G18" i="16"/>
  <c r="F18" i="16"/>
  <c r="E18" i="16"/>
  <c r="D18" i="16"/>
  <c r="C18" i="16"/>
  <c r="G19" i="16"/>
  <c r="F19" i="16"/>
  <c r="E19" i="16"/>
  <c r="D19" i="16"/>
  <c r="C19" i="16"/>
  <c r="F20" i="16"/>
  <c r="E20" i="16"/>
  <c r="D20" i="16"/>
  <c r="C20" i="16"/>
  <c r="E21" i="16"/>
  <c r="D21" i="16"/>
  <c r="C21" i="16"/>
  <c r="D22" i="16"/>
  <c r="C22" i="16"/>
  <c r="O23" i="16" l="1"/>
  <c r="N23" i="16"/>
  <c r="C23" i="16"/>
  <c r="D53" i="22"/>
  <c r="E53" i="22" s="1"/>
  <c r="C66" i="29" l="1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40" i="29"/>
  <c r="C41" i="29"/>
  <c r="C42" i="29"/>
  <c r="C43" i="29"/>
  <c r="C44" i="29"/>
  <c r="C45" i="29"/>
  <c r="C46" i="29"/>
  <c r="C47" i="29"/>
  <c r="C48" i="29"/>
  <c r="C49" i="29"/>
  <c r="C39" i="29"/>
  <c r="C38" i="29"/>
  <c r="D17" i="60"/>
  <c r="E17" i="60"/>
  <c r="F17" i="60"/>
  <c r="G17" i="60"/>
  <c r="H17" i="60"/>
  <c r="I17" i="60"/>
  <c r="C17" i="60"/>
  <c r="D16" i="60"/>
  <c r="E16" i="60"/>
  <c r="F16" i="60"/>
  <c r="G16" i="60"/>
  <c r="H16" i="60"/>
  <c r="I16" i="60"/>
  <c r="J16" i="60"/>
  <c r="C16" i="60"/>
  <c r="D15" i="60"/>
  <c r="E15" i="60"/>
  <c r="F15" i="60"/>
  <c r="G15" i="60"/>
  <c r="H15" i="60"/>
  <c r="I15" i="60"/>
  <c r="J15" i="60"/>
  <c r="K15" i="60"/>
  <c r="C15" i="60"/>
  <c r="D14" i="60"/>
  <c r="E14" i="60"/>
  <c r="F14" i="60"/>
  <c r="G14" i="60"/>
  <c r="H14" i="60"/>
  <c r="I14" i="60"/>
  <c r="J14" i="60"/>
  <c r="K14" i="60"/>
  <c r="C14" i="60"/>
  <c r="D18" i="60"/>
  <c r="E18" i="60"/>
  <c r="F18" i="60"/>
  <c r="G18" i="60"/>
  <c r="H18" i="60"/>
  <c r="C18" i="60"/>
  <c r="D19" i="60"/>
  <c r="E19" i="60"/>
  <c r="F19" i="60"/>
  <c r="G19" i="60"/>
  <c r="C19" i="60"/>
  <c r="F20" i="60"/>
  <c r="E20" i="60"/>
  <c r="D20" i="60"/>
  <c r="C20" i="60"/>
  <c r="E21" i="60"/>
  <c r="D21" i="60"/>
  <c r="C21" i="60"/>
  <c r="D22" i="60"/>
  <c r="C22" i="60"/>
  <c r="C23" i="60"/>
  <c r="O23" i="60"/>
  <c r="N23" i="60"/>
  <c r="C17" i="2"/>
  <c r="C15" i="2"/>
  <c r="C14" i="2"/>
  <c r="C39" i="60" l="1"/>
  <c r="C68" i="29"/>
  <c r="F39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40" i="31"/>
  <c r="F41" i="31"/>
  <c r="F42" i="31"/>
  <c r="F43" i="31"/>
  <c r="F44" i="31"/>
  <c r="F45" i="31"/>
  <c r="F46" i="31"/>
  <c r="F47" i="31"/>
  <c r="F48" i="31"/>
  <c r="F49" i="31"/>
  <c r="F50" i="31"/>
  <c r="F23" i="31"/>
  <c r="F24" i="31"/>
  <c r="F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22" i="31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23" i="32"/>
  <c r="F22" i="32"/>
  <c r="C50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22" i="32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22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L54" i="31"/>
  <c r="K54" i="31"/>
  <c r="M41" i="28" s="1"/>
  <c r="C50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22" i="34"/>
  <c r="C14" i="38"/>
  <c r="L22" i="41"/>
  <c r="A24" i="41" s="1"/>
  <c r="A23" i="41" s="1"/>
  <c r="F52" i="33" l="1"/>
  <c r="C53" i="31"/>
  <c r="C52" i="32"/>
  <c r="C52" i="33"/>
  <c r="F52" i="32"/>
  <c r="C52" i="34"/>
  <c r="F53" i="31"/>
  <c r="F52" i="34"/>
  <c r="C42" i="48" l="1"/>
  <c r="F42" i="48"/>
  <c r="P32" i="18"/>
  <c r="O32" i="18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14" i="19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14" i="20"/>
  <c r="C46" i="21"/>
  <c r="C47" i="21"/>
  <c r="C48" i="21"/>
  <c r="C49" i="21"/>
  <c r="C50" i="21"/>
  <c r="C51" i="21"/>
  <c r="C52" i="21"/>
  <c r="C53" i="21"/>
  <c r="C54" i="21"/>
  <c r="C55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14" i="21"/>
  <c r="K56" i="20" l="1"/>
  <c r="K56" i="19"/>
  <c r="D55" i="21"/>
  <c r="K58" i="21"/>
  <c r="N33" i="36"/>
  <c r="N31" i="38" l="1"/>
  <c r="D15" i="36" l="1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14" i="36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14" i="38"/>
  <c r="C19" i="38"/>
  <c r="C20" i="38"/>
  <c r="C21" i="38"/>
  <c r="C22" i="38"/>
  <c r="C23" i="38"/>
  <c r="C24" i="38"/>
  <c r="C25" i="38"/>
  <c r="C26" i="38"/>
  <c r="C27" i="38"/>
  <c r="C28" i="38"/>
  <c r="C15" i="38"/>
  <c r="C16" i="38"/>
  <c r="C17" i="38"/>
  <c r="C18" i="38"/>
  <c r="M11" i="38"/>
  <c r="M11" i="36" s="1"/>
  <c r="M11" i="35" s="1"/>
  <c r="F28" i="36" l="1"/>
  <c r="D31" i="38"/>
  <c r="N32" i="38" s="1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35" i="17"/>
  <c r="D35" i="17"/>
  <c r="C36" i="17"/>
  <c r="D36" i="17"/>
  <c r="C37" i="17"/>
  <c r="D37" i="17"/>
  <c r="C38" i="17"/>
  <c r="D38" i="17"/>
  <c r="C39" i="17"/>
  <c r="D39" i="17"/>
  <c r="C40" i="17"/>
  <c r="D40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C47" i="17"/>
  <c r="D47" i="17"/>
  <c r="C48" i="17"/>
  <c r="D48" i="17"/>
  <c r="C49" i="17"/>
  <c r="D49" i="17"/>
  <c r="C50" i="17"/>
  <c r="D50" i="17"/>
  <c r="C51" i="17"/>
  <c r="D51" i="17"/>
  <c r="C52" i="17"/>
  <c r="D52" i="17"/>
  <c r="D14" i="17"/>
  <c r="C14" i="17"/>
  <c r="K25" i="58" l="1"/>
  <c r="L22" i="43"/>
  <c r="A24" i="43" s="1"/>
  <c r="A23" i="43" s="1"/>
  <c r="G12" i="30" l="1"/>
  <c r="J35" i="58" l="1"/>
  <c r="B44" i="58" l="1"/>
  <c r="E14" i="36" l="1"/>
  <c r="K45" i="60"/>
  <c r="E37" i="60"/>
  <c r="E33" i="60"/>
  <c r="I31" i="60"/>
  <c r="K39" i="60"/>
  <c r="J39" i="60"/>
  <c r="I39" i="60"/>
  <c r="H39" i="60"/>
  <c r="G39" i="60"/>
  <c r="F39" i="60"/>
  <c r="E39" i="60"/>
  <c r="D39" i="60"/>
  <c r="K38" i="60"/>
  <c r="J38" i="60"/>
  <c r="I38" i="60"/>
  <c r="H38" i="60"/>
  <c r="G38" i="60"/>
  <c r="F38" i="60"/>
  <c r="E38" i="60"/>
  <c r="K37" i="60"/>
  <c r="J37" i="60"/>
  <c r="I37" i="60"/>
  <c r="H37" i="60"/>
  <c r="G37" i="60"/>
  <c r="F37" i="60"/>
  <c r="K36" i="60"/>
  <c r="J36" i="60"/>
  <c r="I36" i="60"/>
  <c r="H36" i="60"/>
  <c r="G36" i="60"/>
  <c r="K35" i="60"/>
  <c r="J35" i="60"/>
  <c r="I35" i="60"/>
  <c r="H35" i="60"/>
  <c r="K34" i="60"/>
  <c r="J34" i="60"/>
  <c r="I34" i="60"/>
  <c r="K33" i="60"/>
  <c r="J33" i="60"/>
  <c r="K32" i="60"/>
  <c r="K29" i="60"/>
  <c r="J29" i="60"/>
  <c r="I29" i="60"/>
  <c r="H29" i="60"/>
  <c r="G29" i="60"/>
  <c r="F29" i="60"/>
  <c r="E29" i="60"/>
  <c r="D29" i="60"/>
  <c r="C29" i="60"/>
  <c r="A29" i="60"/>
  <c r="K12" i="60"/>
  <c r="J12" i="60"/>
  <c r="I12" i="60"/>
  <c r="H12" i="60"/>
  <c r="G12" i="60"/>
  <c r="F12" i="60"/>
  <c r="E12" i="60"/>
  <c r="D12" i="60"/>
  <c r="C12" i="60"/>
  <c r="A12" i="60"/>
  <c r="A3" i="60"/>
  <c r="A2" i="60"/>
  <c r="A1" i="60"/>
  <c r="C17" i="7"/>
  <c r="C18" i="7"/>
  <c r="C20" i="7"/>
  <c r="C21" i="7"/>
  <c r="C22" i="7"/>
  <c r="C23" i="7"/>
  <c r="C14" i="7"/>
  <c r="E14" i="7" s="1"/>
  <c r="C14" i="3" s="1"/>
  <c r="C15" i="8"/>
  <c r="C17" i="8"/>
  <c r="C18" i="8"/>
  <c r="C19" i="8"/>
  <c r="C20" i="8"/>
  <c r="C21" i="8"/>
  <c r="C22" i="8"/>
  <c r="C23" i="8"/>
  <c r="C15" i="9"/>
  <c r="C18" i="9"/>
  <c r="C19" i="9"/>
  <c r="C20" i="9"/>
  <c r="C22" i="9"/>
  <c r="E23" i="13"/>
  <c r="C14" i="9"/>
  <c r="E14" i="9" s="1"/>
  <c r="C14" i="5" s="1"/>
  <c r="C16" i="10"/>
  <c r="C17" i="10"/>
  <c r="C19" i="10"/>
  <c r="C20" i="10"/>
  <c r="C21" i="10"/>
  <c r="A14" i="25"/>
  <c r="D14" i="22"/>
  <c r="C52" i="22"/>
  <c r="O5" i="28"/>
  <c r="E50" i="40" s="1"/>
  <c r="C50" i="40" s="1"/>
  <c r="E51" i="40"/>
  <c r="D24" i="58"/>
  <c r="D20" i="58"/>
  <c r="D15" i="58"/>
  <c r="C18" i="58"/>
  <c r="G46" i="40"/>
  <c r="F46" i="40"/>
  <c r="E46" i="40"/>
  <c r="G45" i="40"/>
  <c r="F45" i="40"/>
  <c r="E45" i="40"/>
  <c r="G44" i="40"/>
  <c r="F44" i="40"/>
  <c r="E44" i="40"/>
  <c r="C44" i="40"/>
  <c r="B44" i="40"/>
  <c r="A44" i="40"/>
  <c r="G43" i="40"/>
  <c r="F43" i="40"/>
  <c r="E43" i="40"/>
  <c r="C43" i="40"/>
  <c r="B43" i="40"/>
  <c r="A43" i="40"/>
  <c r="G42" i="40"/>
  <c r="F42" i="40"/>
  <c r="E42" i="40"/>
  <c r="C42" i="40"/>
  <c r="B42" i="40"/>
  <c r="A42" i="40"/>
  <c r="G41" i="40"/>
  <c r="F41" i="40"/>
  <c r="E41" i="40"/>
  <c r="C41" i="40"/>
  <c r="B41" i="40"/>
  <c r="A41" i="40"/>
  <c r="G40" i="40"/>
  <c r="F40" i="40"/>
  <c r="E40" i="40"/>
  <c r="C40" i="40"/>
  <c r="B40" i="40"/>
  <c r="A40" i="40"/>
  <c r="G39" i="40"/>
  <c r="F39" i="40"/>
  <c r="E39" i="40"/>
  <c r="C39" i="40"/>
  <c r="B39" i="40"/>
  <c r="A39" i="40"/>
  <c r="G38" i="40"/>
  <c r="F38" i="40"/>
  <c r="E38" i="40"/>
  <c r="C38" i="40"/>
  <c r="B38" i="40"/>
  <c r="A38" i="40"/>
  <c r="G37" i="40"/>
  <c r="F37" i="40"/>
  <c r="E37" i="40"/>
  <c r="C37" i="40"/>
  <c r="B37" i="40"/>
  <c r="A37" i="40"/>
  <c r="G36" i="40"/>
  <c r="F36" i="40"/>
  <c r="E36" i="40"/>
  <c r="C36" i="40"/>
  <c r="B36" i="40"/>
  <c r="A36" i="40"/>
  <c r="G35" i="40"/>
  <c r="F35" i="40"/>
  <c r="E35" i="40"/>
  <c r="C35" i="40"/>
  <c r="B35" i="40"/>
  <c r="A35" i="40"/>
  <c r="G34" i="40"/>
  <c r="F34" i="40"/>
  <c r="E34" i="40"/>
  <c r="C34" i="40"/>
  <c r="B34" i="40"/>
  <c r="A34" i="40"/>
  <c r="G33" i="40"/>
  <c r="F33" i="40"/>
  <c r="E33" i="40"/>
  <c r="C33" i="40"/>
  <c r="B33" i="40"/>
  <c r="A33" i="40"/>
  <c r="G32" i="40"/>
  <c r="F32" i="40"/>
  <c r="E32" i="40"/>
  <c r="C32" i="40"/>
  <c r="B32" i="40"/>
  <c r="A32" i="40"/>
  <c r="G31" i="40"/>
  <c r="F31" i="40"/>
  <c r="E31" i="40"/>
  <c r="C31" i="40"/>
  <c r="B31" i="40"/>
  <c r="A31" i="40"/>
  <c r="G30" i="40"/>
  <c r="F30" i="40"/>
  <c r="E30" i="40"/>
  <c r="C30" i="40"/>
  <c r="B30" i="40"/>
  <c r="A30" i="40"/>
  <c r="G29" i="40"/>
  <c r="F29" i="40"/>
  <c r="E29" i="40"/>
  <c r="C29" i="40"/>
  <c r="B29" i="40"/>
  <c r="A29" i="40"/>
  <c r="G28" i="40"/>
  <c r="F28" i="40"/>
  <c r="E28" i="40"/>
  <c r="C28" i="40"/>
  <c r="B28" i="40"/>
  <c r="A28" i="40"/>
  <c r="G27" i="40"/>
  <c r="F27" i="40"/>
  <c r="E27" i="40"/>
  <c r="C27" i="40"/>
  <c r="B27" i="40"/>
  <c r="A27" i="40"/>
  <c r="G26" i="40"/>
  <c r="F26" i="40"/>
  <c r="E26" i="40"/>
  <c r="C26" i="40"/>
  <c r="B26" i="40"/>
  <c r="A26" i="40"/>
  <c r="G25" i="40"/>
  <c r="F25" i="40"/>
  <c r="E25" i="40"/>
  <c r="C25" i="40"/>
  <c r="B25" i="40"/>
  <c r="A25" i="40"/>
  <c r="G24" i="40"/>
  <c r="F24" i="40"/>
  <c r="E24" i="40"/>
  <c r="C24" i="40"/>
  <c r="B24" i="40"/>
  <c r="A24" i="40"/>
  <c r="G23" i="40"/>
  <c r="F23" i="40"/>
  <c r="E23" i="40"/>
  <c r="C23" i="40"/>
  <c r="B23" i="40"/>
  <c r="A23" i="40"/>
  <c r="G22" i="40"/>
  <c r="F22" i="40"/>
  <c r="E22" i="40"/>
  <c r="C22" i="40"/>
  <c r="B22" i="40"/>
  <c r="A22" i="40"/>
  <c r="G21" i="40"/>
  <c r="F21" i="40"/>
  <c r="C21" i="40"/>
  <c r="B21" i="40"/>
  <c r="A21" i="40"/>
  <c r="G20" i="40"/>
  <c r="F20" i="40"/>
  <c r="C20" i="40"/>
  <c r="B20" i="40"/>
  <c r="A20" i="40"/>
  <c r="G19" i="40"/>
  <c r="F19" i="40"/>
  <c r="C19" i="40"/>
  <c r="B19" i="40"/>
  <c r="A19" i="40"/>
  <c r="G18" i="40"/>
  <c r="F18" i="40"/>
  <c r="C18" i="40"/>
  <c r="B18" i="40"/>
  <c r="A18" i="40"/>
  <c r="G17" i="40"/>
  <c r="F17" i="40"/>
  <c r="C17" i="40"/>
  <c r="B17" i="40"/>
  <c r="A17" i="40"/>
  <c r="G16" i="40"/>
  <c r="F16" i="40"/>
  <c r="C16" i="40"/>
  <c r="B16" i="40"/>
  <c r="A16" i="40"/>
  <c r="G15" i="40"/>
  <c r="F15" i="40"/>
  <c r="C15" i="40"/>
  <c r="B15" i="40"/>
  <c r="A15" i="40"/>
  <c r="G14" i="40"/>
  <c r="F14" i="40"/>
  <c r="C14" i="40"/>
  <c r="B14" i="40"/>
  <c r="A14" i="40"/>
  <c r="B33" i="37"/>
  <c r="I50" i="26"/>
  <c r="A24" i="26"/>
  <c r="A23" i="26" s="1"/>
  <c r="A22" i="26" s="1"/>
  <c r="A40" i="26" s="1"/>
  <c r="M11" i="26"/>
  <c r="C11" i="26" s="1"/>
  <c r="D11" i="26" s="1"/>
  <c r="E11" i="26" s="1"/>
  <c r="F11" i="26" s="1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I48" i="24"/>
  <c r="A23" i="24"/>
  <c r="A22" i="24" s="1"/>
  <c r="M11" i="24"/>
  <c r="C11" i="24" s="1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21" i="18"/>
  <c r="D16" i="18"/>
  <c r="E18" i="18"/>
  <c r="D58" i="30"/>
  <c r="L22" i="44"/>
  <c r="C28" i="37"/>
  <c r="C27" i="37"/>
  <c r="C26" i="37"/>
  <c r="C25" i="37"/>
  <c r="C24" i="37"/>
  <c r="C23" i="37"/>
  <c r="C22" i="37"/>
  <c r="C21" i="37"/>
  <c r="C20" i="37"/>
  <c r="C18" i="37"/>
  <c r="C17" i="37"/>
  <c r="C16" i="37"/>
  <c r="C14" i="37"/>
  <c r="J14" i="58"/>
  <c r="C28" i="35"/>
  <c r="C27" i="35"/>
  <c r="C26" i="35"/>
  <c r="C24" i="35"/>
  <c r="C23" i="35"/>
  <c r="C22" i="35"/>
  <c r="C21" i="35"/>
  <c r="C20" i="35"/>
  <c r="C19" i="35"/>
  <c r="C18" i="35"/>
  <c r="C17" i="35"/>
  <c r="C16" i="35"/>
  <c r="C15" i="35"/>
  <c r="C14" i="35"/>
  <c r="C11" i="36"/>
  <c r="M47" i="29"/>
  <c r="D32" i="16"/>
  <c r="M22" i="9"/>
  <c r="B30" i="9" s="1"/>
  <c r="L11" i="5"/>
  <c r="A12" i="32"/>
  <c r="B41" i="35"/>
  <c r="B41" i="37"/>
  <c r="E33" i="37"/>
  <c r="A15" i="23"/>
  <c r="A16" i="23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K45" i="16"/>
  <c r="N9" i="20"/>
  <c r="N14" i="31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31" i="38"/>
  <c r="B51" i="15"/>
  <c r="L29" i="58"/>
  <c r="N51" i="17"/>
  <c r="N50" i="17" s="1"/>
  <c r="A52" i="17"/>
  <c r="O52" i="17"/>
  <c r="E12" i="14"/>
  <c r="D12" i="14"/>
  <c r="C12" i="14"/>
  <c r="E12" i="13"/>
  <c r="D12" i="13"/>
  <c r="B31" i="13" s="1"/>
  <c r="C12" i="13"/>
  <c r="E12" i="12"/>
  <c r="D12" i="12"/>
  <c r="C12" i="12"/>
  <c r="E12" i="11"/>
  <c r="D12" i="11"/>
  <c r="C12" i="11"/>
  <c r="D11" i="29"/>
  <c r="A1" i="48"/>
  <c r="A2" i="48"/>
  <c r="A3" i="48"/>
  <c r="A12" i="48"/>
  <c r="C12" i="48"/>
  <c r="D12" i="48"/>
  <c r="E12" i="48"/>
  <c r="B47" i="48" s="1"/>
  <c r="F12" i="48"/>
  <c r="B48" i="48" s="1"/>
  <c r="G12" i="48"/>
  <c r="B49" i="48" s="1"/>
  <c r="A15" i="48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1" i="58"/>
  <c r="A2" i="58"/>
  <c r="A3" i="58"/>
  <c r="B30" i="58"/>
  <c r="B41" i="58"/>
  <c r="B42" i="58"/>
  <c r="B47" i="58"/>
  <c r="A1" i="46"/>
  <c r="A2" i="46"/>
  <c r="A3" i="46"/>
  <c r="A1" i="45"/>
  <c r="A2" i="45"/>
  <c r="A3" i="45"/>
  <c r="A12" i="45"/>
  <c r="C12" i="45"/>
  <c r="B31" i="45" s="1"/>
  <c r="D12" i="45"/>
  <c r="E12" i="45"/>
  <c r="B33" i="45" s="1"/>
  <c r="A1" i="44"/>
  <c r="A2" i="44"/>
  <c r="A3" i="44"/>
  <c r="A12" i="44"/>
  <c r="C12" i="44"/>
  <c r="D12" i="44"/>
  <c r="B32" i="44" s="1"/>
  <c r="E12" i="44"/>
  <c r="A1" i="43"/>
  <c r="A2" i="43"/>
  <c r="A3" i="43"/>
  <c r="A12" i="43"/>
  <c r="C12" i="43"/>
  <c r="B31" i="43" s="1"/>
  <c r="D12" i="43"/>
  <c r="E12" i="43"/>
  <c r="A1" i="42"/>
  <c r="A2" i="42"/>
  <c r="A3" i="42"/>
  <c r="A12" i="42"/>
  <c r="C12" i="42"/>
  <c r="B31" i="42" s="1"/>
  <c r="D12" i="42"/>
  <c r="B32" i="42" s="1"/>
  <c r="E12" i="42"/>
  <c r="A1" i="41"/>
  <c r="A2" i="41"/>
  <c r="A3" i="41"/>
  <c r="A12" i="41"/>
  <c r="C12" i="41"/>
  <c r="D12" i="41"/>
  <c r="B32" i="41" s="1"/>
  <c r="E12" i="41"/>
  <c r="A1" i="40"/>
  <c r="A2" i="40"/>
  <c r="A3" i="40"/>
  <c r="A4" i="40"/>
  <c r="A12" i="40"/>
  <c r="E12" i="40"/>
  <c r="C12" i="40"/>
  <c r="A1" i="38"/>
  <c r="A2" i="38"/>
  <c r="A3" i="38"/>
  <c r="A12" i="38"/>
  <c r="C12" i="38"/>
  <c r="B35" i="38"/>
  <c r="D12" i="38"/>
  <c r="E12" i="38"/>
  <c r="F12" i="38"/>
  <c r="A1" i="37"/>
  <c r="A2" i="37"/>
  <c r="A3" i="37"/>
  <c r="A12" i="37"/>
  <c r="C12" i="37"/>
  <c r="B38" i="37" s="1"/>
  <c r="D12" i="37"/>
  <c r="B39" i="37"/>
  <c r="E12" i="37"/>
  <c r="A1" i="36"/>
  <c r="A2" i="36"/>
  <c r="A3" i="36"/>
  <c r="A12" i="36"/>
  <c r="C12" i="36"/>
  <c r="B35" i="36"/>
  <c r="D12" i="36"/>
  <c r="B36" i="36"/>
  <c r="E12" i="36"/>
  <c r="F12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31" i="36"/>
  <c r="A1" i="35"/>
  <c r="A2" i="35"/>
  <c r="A3" i="35"/>
  <c r="A12" i="35"/>
  <c r="C12" i="35"/>
  <c r="D12" i="35"/>
  <c r="B39" i="35"/>
  <c r="E12" i="35"/>
  <c r="B42" i="35"/>
  <c r="M33" i="35"/>
  <c r="M33" i="37" s="1"/>
  <c r="A1" i="34"/>
  <c r="A2" i="34"/>
  <c r="A3" i="34"/>
  <c r="A12" i="34"/>
  <c r="C12" i="34"/>
  <c r="D12" i="34"/>
  <c r="E12" i="34"/>
  <c r="A58" i="34" s="1"/>
  <c r="F12" i="34"/>
  <c r="G12" i="34"/>
  <c r="A60" i="34" s="1"/>
  <c r="A15" i="34"/>
  <c r="A16" i="34"/>
  <c r="A17" i="34"/>
  <c r="A18" i="34" s="1"/>
  <c r="A19" i="34" s="1"/>
  <c r="A20" i="34" s="1"/>
  <c r="A21" i="34" s="1"/>
  <c r="A22" i="34" s="1"/>
  <c r="A23" i="34" s="1"/>
  <c r="A24" i="34" s="1"/>
  <c r="A25" i="34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1" i="33"/>
  <c r="A2" i="33"/>
  <c r="A3" i="33"/>
  <c r="A12" i="33"/>
  <c r="C12" i="33"/>
  <c r="D12" i="33"/>
  <c r="E12" i="33"/>
  <c r="F12" i="33"/>
  <c r="G12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1" i="32"/>
  <c r="A2" i="32"/>
  <c r="A3" i="32"/>
  <c r="C12" i="32"/>
  <c r="D12" i="32"/>
  <c r="E12" i="32"/>
  <c r="F12" i="32"/>
  <c r="G12" i="32"/>
  <c r="A61" i="32" s="1"/>
  <c r="A15" i="32"/>
  <c r="A16" i="32"/>
  <c r="A17" i="32"/>
  <c r="A18" i="32" s="1"/>
  <c r="A19" i="32" s="1"/>
  <c r="A20" i="32" s="1"/>
  <c r="A21" i="32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/>
  <c r="A38" i="32" s="1"/>
  <c r="A39" i="32" s="1"/>
  <c r="A40" i="32" s="1"/>
  <c r="A41" i="32" s="1"/>
  <c r="A42" i="32" s="1"/>
  <c r="A43" i="32" s="1"/>
  <c r="A44" i="32" s="1"/>
  <c r="A45" i="32" s="1"/>
  <c r="A46" i="32" s="1"/>
  <c r="A1" i="31"/>
  <c r="A2" i="31"/>
  <c r="A3" i="31"/>
  <c r="A12" i="31"/>
  <c r="C12" i="31"/>
  <c r="D12" i="31"/>
  <c r="E12" i="31"/>
  <c r="F12" i="31"/>
  <c r="G12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" i="30"/>
  <c r="A2" i="30"/>
  <c r="A3" i="30"/>
  <c r="A12" i="30"/>
  <c r="C12" i="30"/>
  <c r="B63" i="30" s="1"/>
  <c r="D12" i="30"/>
  <c r="B64" i="30" s="1"/>
  <c r="E12" i="30"/>
  <c r="B65" i="30" s="1"/>
  <c r="F12" i="30"/>
  <c r="B66" i="30" s="1"/>
  <c r="A15" i="30"/>
  <c r="C54" i="30"/>
  <c r="B69" i="30"/>
  <c r="B70" i="30"/>
  <c r="A1" i="29"/>
  <c r="A2" i="29"/>
  <c r="A3" i="29"/>
  <c r="A5" i="29"/>
  <c r="A11" i="29"/>
  <c r="C11" i="29"/>
  <c r="E11" i="29"/>
  <c r="F11" i="29"/>
  <c r="G11" i="29"/>
  <c r="H11" i="29"/>
  <c r="A1" i="28"/>
  <c r="A2" i="28"/>
  <c r="A3" i="28"/>
  <c r="A5" i="28"/>
  <c r="E12" i="28"/>
  <c r="B47" i="28"/>
  <c r="B50" i="28"/>
  <c r="A1" i="27"/>
  <c r="A2" i="27"/>
  <c r="A3" i="27"/>
  <c r="A12" i="27"/>
  <c r="C12" i="27"/>
  <c r="B24" i="27" s="1"/>
  <c r="D12" i="27"/>
  <c r="E12" i="27"/>
  <c r="A1" i="26"/>
  <c r="A2" i="26"/>
  <c r="A3" i="26"/>
  <c r="A12" i="26"/>
  <c r="C12" i="26"/>
  <c r="D12" i="26"/>
  <c r="E12" i="26"/>
  <c r="F12" i="26"/>
  <c r="G12" i="26"/>
  <c r="H12" i="26"/>
  <c r="I12" i="26"/>
  <c r="A30" i="26"/>
  <c r="C30" i="26"/>
  <c r="D30" i="26"/>
  <c r="E30" i="26"/>
  <c r="F30" i="26"/>
  <c r="G30" i="26"/>
  <c r="H30" i="26"/>
  <c r="I30" i="26"/>
  <c r="I32" i="26"/>
  <c r="I33" i="26"/>
  <c r="I34" i="26"/>
  <c r="I35" i="26"/>
  <c r="I36" i="26"/>
  <c r="H37" i="26"/>
  <c r="I37" i="26"/>
  <c r="G38" i="26"/>
  <c r="H38" i="26"/>
  <c r="I38" i="26"/>
  <c r="F39" i="26"/>
  <c r="G39" i="26"/>
  <c r="H39" i="26"/>
  <c r="I39" i="26"/>
  <c r="E40" i="26"/>
  <c r="F40" i="26"/>
  <c r="G40" i="26"/>
  <c r="H40" i="26"/>
  <c r="I40" i="26"/>
  <c r="A1" i="25"/>
  <c r="A2" i="25"/>
  <c r="A3" i="25"/>
  <c r="A12" i="25"/>
  <c r="C12" i="25"/>
  <c r="B56" i="25" s="1"/>
  <c r="D12" i="25"/>
  <c r="B57" i="25" s="1"/>
  <c r="E12" i="25"/>
  <c r="F12" i="25"/>
  <c r="B59" i="25" s="1"/>
  <c r="G12" i="25"/>
  <c r="A15" i="25"/>
  <c r="A16" i="25"/>
  <c r="A17" i="25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1" i="24"/>
  <c r="A2" i="24"/>
  <c r="A3" i="24"/>
  <c r="A12" i="24"/>
  <c r="C12" i="24"/>
  <c r="D12" i="24"/>
  <c r="E12" i="24"/>
  <c r="F12" i="24"/>
  <c r="G12" i="24"/>
  <c r="H12" i="24"/>
  <c r="I12" i="24"/>
  <c r="A29" i="24"/>
  <c r="C29" i="24"/>
  <c r="D29" i="24"/>
  <c r="E29" i="24"/>
  <c r="F29" i="24"/>
  <c r="G29" i="24"/>
  <c r="H29" i="24"/>
  <c r="I29" i="24"/>
  <c r="I31" i="24"/>
  <c r="I32" i="24"/>
  <c r="I33" i="24"/>
  <c r="I34" i="24"/>
  <c r="H35" i="24"/>
  <c r="I35" i="24"/>
  <c r="G36" i="24"/>
  <c r="H36" i="24"/>
  <c r="I36" i="24"/>
  <c r="F37" i="24"/>
  <c r="G37" i="24"/>
  <c r="H37" i="24"/>
  <c r="I37" i="24"/>
  <c r="E38" i="24"/>
  <c r="F38" i="24"/>
  <c r="G38" i="24"/>
  <c r="H38" i="24"/>
  <c r="I38" i="24"/>
  <c r="D39" i="24"/>
  <c r="E39" i="24"/>
  <c r="F39" i="24"/>
  <c r="G39" i="24"/>
  <c r="H39" i="24"/>
  <c r="I39" i="24"/>
  <c r="A1" i="23"/>
  <c r="A2" i="23"/>
  <c r="A3" i="23"/>
  <c r="M11" i="23"/>
  <c r="C11" i="23" s="1"/>
  <c r="A12" i="23"/>
  <c r="C12" i="23"/>
  <c r="B56" i="23" s="1"/>
  <c r="D12" i="23"/>
  <c r="B57" i="23" s="1"/>
  <c r="E12" i="23"/>
  <c r="A1" i="22"/>
  <c r="A2" i="22"/>
  <c r="A3" i="22"/>
  <c r="A12" i="22"/>
  <c r="C12" i="22"/>
  <c r="B65" i="22" s="1"/>
  <c r="D12" i="22"/>
  <c r="B66" i="22" s="1"/>
  <c r="E12" i="22"/>
  <c r="B67" i="22" s="1"/>
  <c r="F12" i="22"/>
  <c r="B68" i="22"/>
  <c r="A15" i="22"/>
  <c r="A16" i="22" s="1"/>
  <c r="A17" i="22" s="1"/>
  <c r="A18" i="22" s="1"/>
  <c r="A19" i="22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1" i="21"/>
  <c r="A2" i="21"/>
  <c r="A3" i="21"/>
  <c r="A12" i="21"/>
  <c r="C12" i="21"/>
  <c r="B63" i="21"/>
  <c r="D12" i="21"/>
  <c r="B64" i="21" s="1"/>
  <c r="E12" i="21"/>
  <c r="F12" i="21"/>
  <c r="G12" i="21"/>
  <c r="H12" i="21"/>
  <c r="I12" i="21"/>
  <c r="J12" i="21"/>
  <c r="K12" i="21"/>
  <c r="A55" i="21"/>
  <c r="A1" i="20"/>
  <c r="A2" i="20"/>
  <c r="A3" i="20"/>
  <c r="A53" i="20"/>
  <c r="N53" i="20" s="1"/>
  <c r="A12" i="20"/>
  <c r="C12" i="20"/>
  <c r="B61" i="20" s="1"/>
  <c r="D12" i="20"/>
  <c r="E12" i="20"/>
  <c r="F12" i="20"/>
  <c r="G12" i="20"/>
  <c r="H12" i="20"/>
  <c r="I12" i="20"/>
  <c r="J12" i="20"/>
  <c r="K12" i="20"/>
  <c r="A1" i="19"/>
  <c r="A2" i="19"/>
  <c r="A3" i="19"/>
  <c r="A12" i="19"/>
  <c r="C12" i="19"/>
  <c r="B61" i="19"/>
  <c r="D12" i="19"/>
  <c r="B62" i="19" s="1"/>
  <c r="E12" i="19"/>
  <c r="F12" i="19"/>
  <c r="G12" i="19"/>
  <c r="H12" i="19"/>
  <c r="I12" i="19"/>
  <c r="J12" i="19"/>
  <c r="K12" i="19"/>
  <c r="A53" i="19"/>
  <c r="N53" i="19" s="1"/>
  <c r="A1" i="18"/>
  <c r="A2" i="18"/>
  <c r="A3" i="18"/>
  <c r="A11" i="18"/>
  <c r="A12" i="18"/>
  <c r="C12" i="18"/>
  <c r="B34" i="18"/>
  <c r="D12" i="18"/>
  <c r="B35" i="18" s="1"/>
  <c r="E12" i="18"/>
  <c r="B36" i="18"/>
  <c r="F12" i="18"/>
  <c r="A23" i="18"/>
  <c r="A22" i="18" s="1"/>
  <c r="A1" i="17"/>
  <c r="A2" i="17"/>
  <c r="A3" i="17"/>
  <c r="A12" i="17"/>
  <c r="C12" i="17"/>
  <c r="D12" i="17"/>
  <c r="E12" i="17"/>
  <c r="C63" i="17" s="1"/>
  <c r="F12" i="17"/>
  <c r="G12" i="17"/>
  <c r="I12" i="17"/>
  <c r="J12" i="17"/>
  <c r="K12" i="17"/>
  <c r="L12" i="17"/>
  <c r="G63" i="17"/>
  <c r="G64" i="17"/>
  <c r="G65" i="17"/>
  <c r="A1" i="16"/>
  <c r="A2" i="16"/>
  <c r="A3" i="16"/>
  <c r="A12" i="16"/>
  <c r="C12" i="16"/>
  <c r="D12" i="16"/>
  <c r="E12" i="16"/>
  <c r="F12" i="16"/>
  <c r="G12" i="16"/>
  <c r="H12" i="16"/>
  <c r="I12" i="16"/>
  <c r="J12" i="16"/>
  <c r="K12" i="16"/>
  <c r="A29" i="16"/>
  <c r="C29" i="16"/>
  <c r="D29" i="16"/>
  <c r="E29" i="16"/>
  <c r="F29" i="16"/>
  <c r="G29" i="16"/>
  <c r="H29" i="16"/>
  <c r="I29" i="16"/>
  <c r="J29" i="16"/>
  <c r="K29" i="16"/>
  <c r="K31" i="16"/>
  <c r="K32" i="16"/>
  <c r="J33" i="16"/>
  <c r="K33" i="16"/>
  <c r="I34" i="16"/>
  <c r="J34" i="16"/>
  <c r="K34" i="16"/>
  <c r="H35" i="16"/>
  <c r="I35" i="16"/>
  <c r="J35" i="16"/>
  <c r="K35" i="16"/>
  <c r="G36" i="16"/>
  <c r="H36" i="16"/>
  <c r="I36" i="16"/>
  <c r="J36" i="16"/>
  <c r="K36" i="16"/>
  <c r="F37" i="16"/>
  <c r="G37" i="16"/>
  <c r="H37" i="16"/>
  <c r="I37" i="16"/>
  <c r="J37" i="16"/>
  <c r="K37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A1" i="15"/>
  <c r="A2" i="15"/>
  <c r="A3" i="15"/>
  <c r="A39" i="15"/>
  <c r="A38" i="15" s="1"/>
  <c r="A37" i="15" s="1"/>
  <c r="A36" i="15" s="1"/>
  <c r="A35" i="15" s="1"/>
  <c r="A34" i="15" s="1"/>
  <c r="A33" i="15" s="1"/>
  <c r="A32" i="15" s="1"/>
  <c r="A31" i="15" s="1"/>
  <c r="A30" i="15" s="1"/>
  <c r="B44" i="15"/>
  <c r="B45" i="15"/>
  <c r="B46" i="15"/>
  <c r="B47" i="15"/>
  <c r="B48" i="15"/>
  <c r="B49" i="15"/>
  <c r="B50" i="15"/>
  <c r="B52" i="15"/>
  <c r="B53" i="15"/>
  <c r="B54" i="15"/>
  <c r="B55" i="15"/>
  <c r="A1" i="14"/>
  <c r="A2" i="14"/>
  <c r="A3" i="14"/>
  <c r="A12" i="14"/>
  <c r="A1" i="13"/>
  <c r="A2" i="13"/>
  <c r="A3" i="13"/>
  <c r="A12" i="13"/>
  <c r="A1" i="12"/>
  <c r="A2" i="12"/>
  <c r="A3" i="12"/>
  <c r="A12" i="12"/>
  <c r="A1" i="11"/>
  <c r="A2" i="11"/>
  <c r="A3" i="11"/>
  <c r="A12" i="11"/>
  <c r="A1" i="10"/>
  <c r="A2" i="10"/>
  <c r="A3" i="10"/>
  <c r="A12" i="10"/>
  <c r="C12" i="10"/>
  <c r="D12" i="10"/>
  <c r="B31" i="10" s="1"/>
  <c r="E12" i="10"/>
  <c r="A1" i="9"/>
  <c r="A2" i="9"/>
  <c r="A3" i="9"/>
  <c r="A12" i="9"/>
  <c r="C12" i="9"/>
  <c r="D12" i="9"/>
  <c r="B31" i="9"/>
  <c r="E12" i="9"/>
  <c r="B32" i="9"/>
  <c r="A1" i="8"/>
  <c r="A2" i="8"/>
  <c r="A3" i="8"/>
  <c r="A12" i="8"/>
  <c r="C12" i="8"/>
  <c r="D12" i="8"/>
  <c r="B31" i="8" s="1"/>
  <c r="E12" i="8"/>
  <c r="B32" i="8" s="1"/>
  <c r="A1" i="7"/>
  <c r="A2" i="7"/>
  <c r="A3" i="7"/>
  <c r="A12" i="7"/>
  <c r="C12" i="7"/>
  <c r="D12" i="7"/>
  <c r="B31" i="7"/>
  <c r="E12" i="7"/>
  <c r="A1" i="6"/>
  <c r="A2" i="6"/>
  <c r="A3" i="6"/>
  <c r="A12" i="6"/>
  <c r="C12" i="6"/>
  <c r="D12" i="6"/>
  <c r="B31" i="6"/>
  <c r="E12" i="6"/>
  <c r="F12" i="6"/>
  <c r="G12" i="6"/>
  <c r="B34" i="6"/>
  <c r="H12" i="6"/>
  <c r="B35" i="6"/>
  <c r="A1" i="5"/>
  <c r="A2" i="5"/>
  <c r="A3" i="5"/>
  <c r="A12" i="5"/>
  <c r="C12" i="5"/>
  <c r="B30" i="5"/>
  <c r="D12" i="5"/>
  <c r="B31" i="5"/>
  <c r="E12" i="5"/>
  <c r="B32" i="5"/>
  <c r="F12" i="5"/>
  <c r="G12" i="5"/>
  <c r="B34" i="5" s="1"/>
  <c r="H12" i="5"/>
  <c r="A1" i="4"/>
  <c r="A2" i="4"/>
  <c r="A3" i="4"/>
  <c r="A12" i="4"/>
  <c r="C12" i="4"/>
  <c r="D12" i="4"/>
  <c r="B31" i="4" s="1"/>
  <c r="E12" i="4"/>
  <c r="F12" i="4"/>
  <c r="G12" i="4"/>
  <c r="H12" i="4"/>
  <c r="A1" i="3"/>
  <c r="A2" i="3"/>
  <c r="A3" i="3"/>
  <c r="A12" i="3"/>
  <c r="C12" i="3"/>
  <c r="B30" i="3"/>
  <c r="D12" i="3"/>
  <c r="E12" i="3"/>
  <c r="F12" i="3"/>
  <c r="G12" i="3"/>
  <c r="B34" i="3"/>
  <c r="H12" i="3"/>
  <c r="B35" i="3"/>
  <c r="A1" i="2"/>
  <c r="A2" i="2"/>
  <c r="A3" i="2"/>
  <c r="C9" i="2"/>
  <c r="A12" i="2"/>
  <c r="C12" i="2"/>
  <c r="B23" i="2" s="1"/>
  <c r="D12" i="2"/>
  <c r="E12" i="2"/>
  <c r="B25" i="2" s="1"/>
  <c r="A12" i="1"/>
  <c r="C12" i="1"/>
  <c r="B28" i="1" s="1"/>
  <c r="D12" i="1"/>
  <c r="B29" i="1" s="1"/>
  <c r="E12" i="1"/>
  <c r="B30" i="1" s="1"/>
  <c r="F12" i="1"/>
  <c r="B31" i="1" s="1"/>
  <c r="G12" i="1"/>
  <c r="B32" i="1"/>
  <c r="H12" i="1"/>
  <c r="B33" i="1" s="1"/>
  <c r="I12" i="1"/>
  <c r="B34" i="1"/>
  <c r="O51" i="17"/>
  <c r="B36" i="38"/>
  <c r="A51" i="17"/>
  <c r="G12" i="40"/>
  <c r="C51" i="40"/>
  <c r="B30" i="4"/>
  <c r="B35" i="5"/>
  <c r="B43" i="15"/>
  <c r="B32" i="45"/>
  <c r="B31" i="11"/>
  <c r="O26" i="31"/>
  <c r="O25" i="31"/>
  <c r="O20" i="31"/>
  <c r="O27" i="31"/>
  <c r="O18" i="31"/>
  <c r="O19" i="31"/>
  <c r="O28" i="31"/>
  <c r="O24" i="31"/>
  <c r="O16" i="31"/>
  <c r="O29" i="31"/>
  <c r="O22" i="31"/>
  <c r="O17" i="31"/>
  <c r="B32" i="7"/>
  <c r="B30" i="6"/>
  <c r="B32" i="43"/>
  <c r="B33" i="43"/>
  <c r="B33" i="5"/>
  <c r="B37" i="36"/>
  <c r="B38" i="36"/>
  <c r="B31" i="41"/>
  <c r="B33" i="41"/>
  <c r="B31" i="44"/>
  <c r="B24" i="2"/>
  <c r="B35" i="4"/>
  <c r="B34" i="4"/>
  <c r="C62" i="17"/>
  <c r="B31" i="3"/>
  <c r="B32" i="6"/>
  <c r="B33" i="6"/>
  <c r="N23" i="18"/>
  <c r="B38" i="18"/>
  <c r="B37" i="18"/>
  <c r="B62" i="20"/>
  <c r="A60" i="33"/>
  <c r="G62" i="17"/>
  <c r="B31" i="14"/>
  <c r="C22" i="10"/>
  <c r="C58" i="30"/>
  <c r="F58" i="30"/>
  <c r="A50" i="40"/>
  <c r="A22" i="43"/>
  <c r="A21" i="43" s="1"/>
  <c r="A20" i="43" s="1"/>
  <c r="A19" i="43" s="1"/>
  <c r="A18" i="43" s="1"/>
  <c r="A17" i="43" s="1"/>
  <c r="A16" i="43" s="1"/>
  <c r="A15" i="43" s="1"/>
  <c r="A14" i="43" s="1"/>
  <c r="D52" i="22"/>
  <c r="C18" i="10"/>
  <c r="E15" i="12"/>
  <c r="L10" i="58"/>
  <c r="E15" i="13"/>
  <c r="C61" i="22" l="1"/>
  <c r="D61" i="22"/>
  <c r="P29" i="31"/>
  <c r="P22" i="31"/>
  <c r="P16" i="31"/>
  <c r="P25" i="31"/>
  <c r="P26" i="31"/>
  <c r="P28" i="31"/>
  <c r="P15" i="31"/>
  <c r="P24" i="31"/>
  <c r="P18" i="31"/>
  <c r="P20" i="31"/>
  <c r="P17" i="31"/>
  <c r="D32" i="32" s="1"/>
  <c r="E32" i="32" s="1"/>
  <c r="G32" i="32" s="1"/>
  <c r="D32" i="30" s="1"/>
  <c r="P27" i="31"/>
  <c r="P21" i="31"/>
  <c r="P19" i="31"/>
  <c r="D55" i="22"/>
  <c r="D57" i="22"/>
  <c r="A24" i="44"/>
  <c r="A23" i="44" s="1"/>
  <c r="A22" i="44" s="1"/>
  <c r="A21" i="44" s="1"/>
  <c r="A20" i="44" s="1"/>
  <c r="A19" i="44" s="1"/>
  <c r="A18" i="44" s="1"/>
  <c r="A17" i="44" s="1"/>
  <c r="A16" i="44" s="1"/>
  <c r="A15" i="44" s="1"/>
  <c r="A14" i="44" s="1"/>
  <c r="C11" i="25"/>
  <c r="A59" i="32"/>
  <c r="A58" i="33"/>
  <c r="A51" i="40"/>
  <c r="B36" i="28" s="1"/>
  <c r="B33" i="44"/>
  <c r="B39" i="18"/>
  <c r="A21" i="18"/>
  <c r="N22" i="18"/>
  <c r="A52" i="20"/>
  <c r="A52" i="19"/>
  <c r="N52" i="19" s="1"/>
  <c r="B35" i="28"/>
  <c r="A51" i="19"/>
  <c r="B32" i="3"/>
  <c r="B33" i="3"/>
  <c r="B32" i="10"/>
  <c r="B32" i="4"/>
  <c r="B33" i="4"/>
  <c r="A54" i="21"/>
  <c r="N55" i="21"/>
  <c r="B40" i="35"/>
  <c r="B38" i="35"/>
  <c r="B26" i="27"/>
  <c r="B25" i="27"/>
  <c r="B31" i="12"/>
  <c r="B42" i="37"/>
  <c r="B40" i="37"/>
  <c r="O14" i="31"/>
  <c r="P14" i="31" s="1"/>
  <c r="O23" i="31"/>
  <c r="P23" i="31" s="1"/>
  <c r="O15" i="31"/>
  <c r="O21" i="31"/>
  <c r="B38" i="38"/>
  <c r="B37" i="38"/>
  <c r="B33" i="42"/>
  <c r="B67" i="30"/>
  <c r="A59" i="31"/>
  <c r="M22" i="10"/>
  <c r="B30" i="10" s="1"/>
  <c r="L11" i="4"/>
  <c r="A11" i="4" s="1"/>
  <c r="C23" i="9"/>
  <c r="E22" i="22"/>
  <c r="L22" i="14"/>
  <c r="B30" i="14" s="1"/>
  <c r="A23" i="11"/>
  <c r="A22" i="11" s="1"/>
  <c r="A21" i="11" s="1"/>
  <c r="A20" i="11" s="1"/>
  <c r="A19" i="11" s="1"/>
  <c r="A18" i="11" s="1"/>
  <c r="A17" i="11" s="1"/>
  <c r="A16" i="11" s="1"/>
  <c r="A15" i="11" s="1"/>
  <c r="A14" i="11" s="1"/>
  <c r="D36" i="60"/>
  <c r="L22" i="10"/>
  <c r="A23" i="10" s="1"/>
  <c r="A22" i="10" s="1"/>
  <c r="A21" i="10" s="1"/>
  <c r="A20" i="10" s="1"/>
  <c r="A19" i="10" s="1"/>
  <c r="A18" i="10" s="1"/>
  <c r="L22" i="42"/>
  <c r="L8" i="3"/>
  <c r="A23" i="3" s="1"/>
  <c r="A22" i="3" s="1"/>
  <c r="A21" i="3" s="1"/>
  <c r="A20" i="3" s="1"/>
  <c r="A19" i="3" s="1"/>
  <c r="A18" i="3" s="1"/>
  <c r="A17" i="3" s="1"/>
  <c r="A16" i="3" s="1"/>
  <c r="A15" i="3" s="1"/>
  <c r="A14" i="3" s="1"/>
  <c r="L22" i="9"/>
  <c r="A23" i="9" s="1"/>
  <c r="A22" i="9" s="1"/>
  <c r="A21" i="9" s="1"/>
  <c r="A20" i="9" s="1"/>
  <c r="A19" i="9" s="1"/>
  <c r="E48" i="22"/>
  <c r="H48" i="24"/>
  <c r="G48" i="24" s="1"/>
  <c r="F48" i="24" s="1"/>
  <c r="E48" i="24" s="1"/>
  <c r="D48" i="24" s="1"/>
  <c r="C48" i="24" s="1"/>
  <c r="E38" i="22"/>
  <c r="D32" i="26"/>
  <c r="H32" i="26"/>
  <c r="E33" i="26"/>
  <c r="F34" i="26"/>
  <c r="C35" i="26"/>
  <c r="G35" i="26"/>
  <c r="D36" i="26"/>
  <c r="C41" i="26"/>
  <c r="E45" i="22"/>
  <c r="E49" i="22"/>
  <c r="C34" i="24"/>
  <c r="F36" i="24"/>
  <c r="E16" i="22"/>
  <c r="E32" i="26"/>
  <c r="F33" i="26"/>
  <c r="C34" i="26"/>
  <c r="H35" i="26"/>
  <c r="E36" i="26"/>
  <c r="C40" i="26"/>
  <c r="E25" i="22"/>
  <c r="E41" i="22"/>
  <c r="C61" i="17"/>
  <c r="O50" i="17"/>
  <c r="A50" i="17"/>
  <c r="N49" i="17"/>
  <c r="F33" i="16"/>
  <c r="D32" i="33"/>
  <c r="E32" i="33" s="1"/>
  <c r="G32" i="33" s="1"/>
  <c r="E32" i="30" s="1"/>
  <c r="E20" i="14"/>
  <c r="A16" i="30"/>
  <c r="D36" i="16"/>
  <c r="E16" i="12"/>
  <c r="E16" i="11"/>
  <c r="F31" i="60"/>
  <c r="J31" i="60"/>
  <c r="H33" i="60"/>
  <c r="H34" i="60"/>
  <c r="E35" i="60"/>
  <c r="E17" i="18"/>
  <c r="E16" i="14"/>
  <c r="C16" i="8"/>
  <c r="D26" i="13"/>
  <c r="I31" i="16"/>
  <c r="F52" i="17"/>
  <c r="G52" i="17" s="1"/>
  <c r="F50" i="17"/>
  <c r="G50" i="17" s="1"/>
  <c r="E23" i="18"/>
  <c r="E20" i="18"/>
  <c r="E44" i="22"/>
  <c r="C38" i="24"/>
  <c r="E34" i="26"/>
  <c r="C36" i="26"/>
  <c r="E39" i="26"/>
  <c r="E52" i="22"/>
  <c r="E19" i="18"/>
  <c r="A21" i="26"/>
  <c r="A39" i="26" s="1"/>
  <c r="C16" i="7"/>
  <c r="L54" i="33"/>
  <c r="B45" i="28"/>
  <c r="A60" i="31"/>
  <c r="E18" i="22"/>
  <c r="E26" i="22"/>
  <c r="E19" i="46"/>
  <c r="D23" i="46"/>
  <c r="D31" i="46"/>
  <c r="D32" i="46" s="1"/>
  <c r="E23" i="46"/>
  <c r="H32" i="16"/>
  <c r="C33" i="16"/>
  <c r="G33" i="16"/>
  <c r="D35" i="16"/>
  <c r="N11" i="16"/>
  <c r="C11" i="16" s="1"/>
  <c r="D11" i="16" s="1"/>
  <c r="E11" i="16" s="1"/>
  <c r="F11" i="16" s="1"/>
  <c r="G11" i="16" s="1"/>
  <c r="F28" i="16" s="1"/>
  <c r="F21" i="38"/>
  <c r="D21" i="37" s="1"/>
  <c r="E21" i="37" s="1"/>
  <c r="F23" i="38"/>
  <c r="D23" i="37" s="1"/>
  <c r="E23" i="37" s="1"/>
  <c r="F25" i="38"/>
  <c r="D25" i="37" s="1"/>
  <c r="E25" i="37" s="1"/>
  <c r="F27" i="38"/>
  <c r="D27" i="37" s="1"/>
  <c r="E27" i="37" s="1"/>
  <c r="H32" i="24"/>
  <c r="E16" i="48"/>
  <c r="G16" i="48" s="1"/>
  <c r="E31" i="24"/>
  <c r="C33" i="24"/>
  <c r="G33" i="24"/>
  <c r="H34" i="24"/>
  <c r="E35" i="24"/>
  <c r="D15" i="18"/>
  <c r="D19" i="18"/>
  <c r="F31" i="24"/>
  <c r="D31" i="36"/>
  <c r="E21" i="14"/>
  <c r="E17" i="14"/>
  <c r="E15" i="48"/>
  <c r="G15" i="48" s="1"/>
  <c r="E19" i="48"/>
  <c r="G19" i="48" s="1"/>
  <c r="C32" i="60"/>
  <c r="G32" i="60"/>
  <c r="F33" i="60"/>
  <c r="F34" i="60"/>
  <c r="E36" i="60"/>
  <c r="F17" i="36"/>
  <c r="D17" i="35" s="1"/>
  <c r="E17" i="35" s="1"/>
  <c r="F27" i="36"/>
  <c r="D27" i="35" s="1"/>
  <c r="E27" i="35" s="1"/>
  <c r="C32" i="24"/>
  <c r="D33" i="24"/>
  <c r="E31" i="46"/>
  <c r="E32" i="46" s="1"/>
  <c r="C19" i="18"/>
  <c r="C32" i="16"/>
  <c r="G32" i="16"/>
  <c r="C35" i="16"/>
  <c r="H31" i="24"/>
  <c r="F33" i="24"/>
  <c r="F31" i="46"/>
  <c r="F32" i="46" s="1"/>
  <c r="C26" i="13"/>
  <c r="C11" i="38"/>
  <c r="E23" i="12"/>
  <c r="L11" i="6"/>
  <c r="A23" i="6" s="1"/>
  <c r="A22" i="6" s="1"/>
  <c r="A21" i="6" s="1"/>
  <c r="A20" i="6" s="1"/>
  <c r="A19" i="6" s="1"/>
  <c r="A18" i="6" s="1"/>
  <c r="A17" i="6" s="1"/>
  <c r="A16" i="6" s="1"/>
  <c r="A15" i="6" s="1"/>
  <c r="A14" i="6" s="1"/>
  <c r="D23" i="18"/>
  <c r="L22" i="7"/>
  <c r="A23" i="7" s="1"/>
  <c r="A22" i="7" s="1"/>
  <c r="A21" i="7" s="1"/>
  <c r="A20" i="7" s="1"/>
  <c r="A19" i="7" s="1"/>
  <c r="A18" i="7" s="1"/>
  <c r="E23" i="11"/>
  <c r="E19" i="13"/>
  <c r="D32" i="34"/>
  <c r="E32" i="34" s="1"/>
  <c r="G32" i="34" s="1"/>
  <c r="F32" i="30" s="1"/>
  <c r="D33" i="32"/>
  <c r="E33" i="32" s="1"/>
  <c r="G33" i="32" s="1"/>
  <c r="D33" i="30" s="1"/>
  <c r="C34" i="16"/>
  <c r="G34" i="16"/>
  <c r="F36" i="16"/>
  <c r="E37" i="16"/>
  <c r="F25" i="36"/>
  <c r="D25" i="35" s="1"/>
  <c r="F17" i="38"/>
  <c r="D17" i="37" s="1"/>
  <c r="E17" i="37" s="1"/>
  <c r="A22" i="41"/>
  <c r="A21" i="41" s="1"/>
  <c r="A20" i="41" s="1"/>
  <c r="A19" i="41" s="1"/>
  <c r="A18" i="41" s="1"/>
  <c r="A17" i="41" s="1"/>
  <c r="A16" i="41" s="1"/>
  <c r="A15" i="41" s="1"/>
  <c r="A14" i="41" s="1"/>
  <c r="E22" i="14"/>
  <c r="C16" i="9"/>
  <c r="D21" i="18"/>
  <c r="F22" i="38"/>
  <c r="D22" i="37" s="1"/>
  <c r="E22" i="37" s="1"/>
  <c r="F20" i="36"/>
  <c r="D20" i="35" s="1"/>
  <c r="E20" i="35" s="1"/>
  <c r="C26" i="12"/>
  <c r="E18" i="13"/>
  <c r="F26" i="36"/>
  <c r="D26" i="35" s="1"/>
  <c r="E26" i="35" s="1"/>
  <c r="D14" i="18"/>
  <c r="D22" i="18"/>
  <c r="F20" i="38"/>
  <c r="D20" i="37" s="1"/>
  <c r="E20" i="37" s="1"/>
  <c r="M22" i="7"/>
  <c r="B30" i="7" s="1"/>
  <c r="L54" i="34"/>
  <c r="F22" i="36"/>
  <c r="D22" i="35" s="1"/>
  <c r="E22" i="35" s="1"/>
  <c r="C16" i="18"/>
  <c r="E20" i="12"/>
  <c r="F34" i="16"/>
  <c r="G35" i="16"/>
  <c r="D37" i="16"/>
  <c r="F28" i="38"/>
  <c r="D28" i="37" s="1"/>
  <c r="E28" i="37" s="1"/>
  <c r="D17" i="18"/>
  <c r="E22" i="11"/>
  <c r="M22" i="12"/>
  <c r="A4" i="12" s="1"/>
  <c r="C18" i="18"/>
  <c r="F16" i="36"/>
  <c r="D16" i="35" s="1"/>
  <c r="E16" i="35" s="1"/>
  <c r="C20" i="18"/>
  <c r="M22" i="14"/>
  <c r="A4" i="14" s="1"/>
  <c r="L54" i="32"/>
  <c r="F18" i="36"/>
  <c r="D18" i="35" s="1"/>
  <c r="E18" i="35" s="1"/>
  <c r="C14" i="18"/>
  <c r="F24" i="36"/>
  <c r="D24" i="35" s="1"/>
  <c r="E24" i="35" s="1"/>
  <c r="C15" i="18"/>
  <c r="E16" i="13"/>
  <c r="D18" i="18"/>
  <c r="D20" i="18"/>
  <c r="C22" i="18"/>
  <c r="M22" i="13"/>
  <c r="A4" i="13" s="1"/>
  <c r="A4" i="11"/>
  <c r="C17" i="18"/>
  <c r="M22" i="8"/>
  <c r="B30" i="8" s="1"/>
  <c r="C23" i="18"/>
  <c r="C31" i="16"/>
  <c r="F32" i="16"/>
  <c r="E34" i="16"/>
  <c r="C37" i="16"/>
  <c r="C38" i="16"/>
  <c r="J31" i="16"/>
  <c r="D33" i="16"/>
  <c r="C39" i="16"/>
  <c r="F15" i="36"/>
  <c r="D15" i="35" s="1"/>
  <c r="E15" i="35" s="1"/>
  <c r="F19" i="36"/>
  <c r="D19" i="35" s="1"/>
  <c r="E19" i="35" s="1"/>
  <c r="C26" i="11"/>
  <c r="D32" i="60"/>
  <c r="H32" i="60"/>
  <c r="C33" i="60"/>
  <c r="C34" i="60"/>
  <c r="E46" i="22"/>
  <c r="E50" i="22"/>
  <c r="E22" i="13"/>
  <c r="E20" i="13"/>
  <c r="E22" i="12"/>
  <c r="A62" i="31"/>
  <c r="E32" i="31"/>
  <c r="G32" i="31" s="1"/>
  <c r="C32" i="30" s="1"/>
  <c r="C19" i="7"/>
  <c r="E19" i="11"/>
  <c r="B49" i="60"/>
  <c r="A23" i="60"/>
  <c r="A22" i="60" s="1"/>
  <c r="C14" i="10"/>
  <c r="E14" i="10" s="1"/>
  <c r="C14" i="6" s="1"/>
  <c r="E14" i="14"/>
  <c r="E18" i="14"/>
  <c r="D26" i="14"/>
  <c r="E14" i="12"/>
  <c r="C14" i="8"/>
  <c r="E14" i="8" s="1"/>
  <c r="C14" i="4" s="1"/>
  <c r="D26" i="12"/>
  <c r="C15" i="7"/>
  <c r="L14" i="58"/>
  <c r="J20" i="58" s="1"/>
  <c r="B39" i="58"/>
  <c r="B40" i="58"/>
  <c r="C15" i="37"/>
  <c r="F15" i="38"/>
  <c r="D15" i="37" s="1"/>
  <c r="F19" i="38"/>
  <c r="D19" i="37" s="1"/>
  <c r="C19" i="37"/>
  <c r="E17" i="22"/>
  <c r="E21" i="22"/>
  <c r="D33" i="60"/>
  <c r="K52" i="30"/>
  <c r="L47" i="29"/>
  <c r="B76" i="29" s="1"/>
  <c r="K54" i="34"/>
  <c r="K54" i="33"/>
  <c r="A57" i="31"/>
  <c r="K54" i="32"/>
  <c r="F21" i="36"/>
  <c r="D21" i="35" s="1"/>
  <c r="E21" i="35" s="1"/>
  <c r="F23" i="36"/>
  <c r="D23" i="35" s="1"/>
  <c r="E23" i="35" s="1"/>
  <c r="D38" i="24"/>
  <c r="E30" i="22"/>
  <c r="N11" i="60"/>
  <c r="C11" i="60" s="1"/>
  <c r="D11" i="60" s="1"/>
  <c r="E11" i="60" s="1"/>
  <c r="C31" i="60"/>
  <c r="G31" i="60"/>
  <c r="J32" i="60"/>
  <c r="I33" i="60"/>
  <c r="E34" i="60"/>
  <c r="C38" i="60"/>
  <c r="F16" i="38"/>
  <c r="D16" i="37" s="1"/>
  <c r="E16" i="37" s="1"/>
  <c r="F18" i="38"/>
  <c r="D18" i="37" s="1"/>
  <c r="E18" i="37" s="1"/>
  <c r="E17" i="12"/>
  <c r="E21" i="11"/>
  <c r="G34" i="60"/>
  <c r="C36" i="16"/>
  <c r="E20" i="22"/>
  <c r="E28" i="22"/>
  <c r="E32" i="22"/>
  <c r="E36" i="22"/>
  <c r="E42" i="22"/>
  <c r="E17" i="48"/>
  <c r="G17" i="48" s="1"/>
  <c r="E14" i="22"/>
  <c r="E17" i="11"/>
  <c r="E15" i="11"/>
  <c r="D11" i="24"/>
  <c r="C28" i="24" s="1"/>
  <c r="C29" i="26"/>
  <c r="F35" i="24"/>
  <c r="F23" i="46"/>
  <c r="F19" i="46"/>
  <c r="H33" i="24"/>
  <c r="E23" i="22"/>
  <c r="E39" i="22"/>
  <c r="H34" i="26"/>
  <c r="G35" i="24"/>
  <c r="E36" i="24"/>
  <c r="D37" i="24"/>
  <c r="A41" i="26"/>
  <c r="E27" i="22"/>
  <c r="E31" i="22"/>
  <c r="E47" i="22"/>
  <c r="D34" i="26"/>
  <c r="G37" i="26"/>
  <c r="D51" i="40"/>
  <c r="F36" i="46"/>
  <c r="D29" i="26"/>
  <c r="E33" i="24"/>
  <c r="E29" i="22"/>
  <c r="E33" i="22"/>
  <c r="E37" i="22"/>
  <c r="E14" i="48"/>
  <c r="E18" i="48"/>
  <c r="G18" i="48" s="1"/>
  <c r="E22" i="48"/>
  <c r="G22" i="48" s="1"/>
  <c r="J33" i="58"/>
  <c r="E29" i="26"/>
  <c r="G11" i="26"/>
  <c r="F29" i="26" s="1"/>
  <c r="D33" i="26"/>
  <c r="C33" i="26"/>
  <c r="G33" i="26"/>
  <c r="H33" i="26"/>
  <c r="D50" i="40"/>
  <c r="G50" i="40" s="1"/>
  <c r="E35" i="28" s="1"/>
  <c r="F35" i="28" s="1"/>
  <c r="F31" i="16"/>
  <c r="G31" i="16"/>
  <c r="H33" i="16"/>
  <c r="I33" i="16"/>
  <c r="D31" i="24"/>
  <c r="C31" i="24"/>
  <c r="E32" i="24"/>
  <c r="D32" i="24"/>
  <c r="G34" i="24"/>
  <c r="F34" i="24"/>
  <c r="D35" i="24"/>
  <c r="C35" i="24"/>
  <c r="A21" i="24"/>
  <c r="A39" i="24"/>
  <c r="E15" i="22"/>
  <c r="G35" i="60"/>
  <c r="F35" i="60"/>
  <c r="D37" i="60"/>
  <c r="C37" i="60"/>
  <c r="C11" i="35"/>
  <c r="M11" i="37"/>
  <c r="C11" i="37" s="1"/>
  <c r="E43" i="22"/>
  <c r="E22" i="18"/>
  <c r="E21" i="18"/>
  <c r="E14" i="18"/>
  <c r="E15" i="18"/>
  <c r="E16" i="18"/>
  <c r="G32" i="26"/>
  <c r="F32" i="26"/>
  <c r="F35" i="26"/>
  <c r="E35" i="26"/>
  <c r="G36" i="26"/>
  <c r="F36" i="26"/>
  <c r="C37" i="26"/>
  <c r="D37" i="26"/>
  <c r="E38" i="26"/>
  <c r="F38" i="26"/>
  <c r="B32" i="58"/>
  <c r="B38" i="58"/>
  <c r="B10" i="58"/>
  <c r="C31" i="38"/>
  <c r="F31" i="38" s="1"/>
  <c r="E31" i="60"/>
  <c r="D31" i="60"/>
  <c r="H31" i="60"/>
  <c r="C35" i="60"/>
  <c r="D38" i="60"/>
  <c r="D28" i="35"/>
  <c r="E28" i="35" s="1"/>
  <c r="D35" i="60"/>
  <c r="F14" i="36"/>
  <c r="D14" i="35" s="1"/>
  <c r="E14" i="35" s="1"/>
  <c r="C25" i="35"/>
  <c r="C31" i="35" s="1"/>
  <c r="C21" i="9"/>
  <c r="E21" i="13"/>
  <c r="B30" i="11"/>
  <c r="L22" i="12"/>
  <c r="L22" i="13"/>
  <c r="L22" i="8"/>
  <c r="A23" i="8" s="1"/>
  <c r="A22" i="8" s="1"/>
  <c r="A21" i="8" s="1"/>
  <c r="A20" i="8" s="1"/>
  <c r="I32" i="16"/>
  <c r="G31" i="24"/>
  <c r="E23" i="14"/>
  <c r="C23" i="10"/>
  <c r="C15" i="10"/>
  <c r="E15" i="14"/>
  <c r="E14" i="13"/>
  <c r="J32" i="16"/>
  <c r="E33" i="16"/>
  <c r="H34" i="16"/>
  <c r="E37" i="24"/>
  <c r="C32" i="26"/>
  <c r="D36" i="46"/>
  <c r="E18" i="12"/>
  <c r="I32" i="60"/>
  <c r="G33" i="60"/>
  <c r="D34" i="60"/>
  <c r="G48" i="46"/>
  <c r="G19" i="1" s="1"/>
  <c r="D31" i="16"/>
  <c r="H31" i="16"/>
  <c r="F32" i="24"/>
  <c r="D34" i="24"/>
  <c r="C36" i="24"/>
  <c r="C37" i="24"/>
  <c r="G34" i="26"/>
  <c r="H36" i="26"/>
  <c r="F37" i="26"/>
  <c r="H50" i="26"/>
  <c r="G50" i="26" s="1"/>
  <c r="F50" i="26" s="1"/>
  <c r="E50" i="26" s="1"/>
  <c r="D50" i="26" s="1"/>
  <c r="C50" i="26" s="1"/>
  <c r="E20" i="48"/>
  <c r="G20" i="48" s="1"/>
  <c r="E18" i="11"/>
  <c r="E32" i="60"/>
  <c r="F32" i="60"/>
  <c r="A11" i="5"/>
  <c r="A23" i="5"/>
  <c r="A22" i="5" s="1"/>
  <c r="A21" i="5" s="1"/>
  <c r="A20" i="5" s="1"/>
  <c r="A19" i="5" s="1"/>
  <c r="A18" i="5" s="1"/>
  <c r="A17" i="5" s="1"/>
  <c r="A16" i="5" s="1"/>
  <c r="A15" i="5" s="1"/>
  <c r="A14" i="5" s="1"/>
  <c r="E34" i="24"/>
  <c r="A23" i="16"/>
  <c r="A22" i="16" s="1"/>
  <c r="A39" i="16" s="1"/>
  <c r="B49" i="16"/>
  <c r="D36" i="24"/>
  <c r="D39" i="26"/>
  <c r="C39" i="26"/>
  <c r="C17" i="9"/>
  <c r="E17" i="13"/>
  <c r="C31" i="36"/>
  <c r="E35" i="16"/>
  <c r="F49" i="17"/>
  <c r="E37" i="26"/>
  <c r="E31" i="16"/>
  <c r="D34" i="16"/>
  <c r="E36" i="16"/>
  <c r="D38" i="16"/>
  <c r="F14" i="38"/>
  <c r="D14" i="37" s="1"/>
  <c r="E14" i="37" s="1"/>
  <c r="E34" i="22"/>
  <c r="D35" i="26"/>
  <c r="D38" i="26"/>
  <c r="E36" i="46"/>
  <c r="D26" i="11"/>
  <c r="G32" i="24"/>
  <c r="C39" i="24"/>
  <c r="E19" i="22"/>
  <c r="E19" i="14"/>
  <c r="E21" i="12"/>
  <c r="E20" i="11"/>
  <c r="F36" i="60"/>
  <c r="E32" i="16"/>
  <c r="F35" i="16"/>
  <c r="F24" i="38"/>
  <c r="D24" i="37" s="1"/>
  <c r="E24" i="37" s="1"/>
  <c r="F26" i="38"/>
  <c r="D26" i="37" s="1"/>
  <c r="E26" i="37" s="1"/>
  <c r="E35" i="22"/>
  <c r="E40" i="22"/>
  <c r="C38" i="26"/>
  <c r="D40" i="26"/>
  <c r="D19" i="46"/>
  <c r="E21" i="48"/>
  <c r="G21" i="48" s="1"/>
  <c r="C36" i="60"/>
  <c r="E24" i="22"/>
  <c r="E19" i="12"/>
  <c r="E14" i="11"/>
  <c r="F31" i="36" l="1"/>
  <c r="E61" i="22"/>
  <c r="A56" i="33"/>
  <c r="A11" i="3"/>
  <c r="B74" i="29"/>
  <c r="C42" i="60"/>
  <c r="C45" i="60" s="1"/>
  <c r="A18" i="29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23" i="14"/>
  <c r="A22" i="14" s="1"/>
  <c r="A21" i="14" s="1"/>
  <c r="A20" i="14" s="1"/>
  <c r="A19" i="14" s="1"/>
  <c r="A18" i="14" s="1"/>
  <c r="A17" i="14" s="1"/>
  <c r="A16" i="14" s="1"/>
  <c r="A15" i="14" s="1"/>
  <c r="A14" i="14" s="1"/>
  <c r="A23" i="4"/>
  <c r="A22" i="4" s="1"/>
  <c r="A21" i="4" s="1"/>
  <c r="A20" i="4" s="1"/>
  <c r="A19" i="4" s="1"/>
  <c r="A18" i="4" s="1"/>
  <c r="A17" i="4" s="1"/>
  <c r="A16" i="4" s="1"/>
  <c r="A15" i="4" s="1"/>
  <c r="A14" i="4" s="1"/>
  <c r="F16" i="18"/>
  <c r="D32" i="15" s="1"/>
  <c r="A23" i="12"/>
  <c r="A22" i="12" s="1"/>
  <c r="A21" i="12" s="1"/>
  <c r="A20" i="12" s="1"/>
  <c r="A19" i="12" s="1"/>
  <c r="A18" i="12" s="1"/>
  <c r="A17" i="12" s="1"/>
  <c r="A16" i="12" s="1"/>
  <c r="A15" i="12" s="1"/>
  <c r="A14" i="12" s="1"/>
  <c r="B30" i="12"/>
  <c r="A24" i="42"/>
  <c r="A23" i="42" s="1"/>
  <c r="A22" i="42" s="1"/>
  <c r="A21" i="42" s="1"/>
  <c r="A20" i="42" s="1"/>
  <c r="A19" i="42" s="1"/>
  <c r="A18" i="42" s="1"/>
  <c r="A17" i="42" s="1"/>
  <c r="A16" i="42" s="1"/>
  <c r="A15" i="42" s="1"/>
  <c r="A14" i="42" s="1"/>
  <c r="A20" i="26"/>
  <c r="A38" i="26" s="1"/>
  <c r="J43" i="16"/>
  <c r="C28" i="16"/>
  <c r="C46" i="26"/>
  <c r="J43" i="60"/>
  <c r="D33" i="33"/>
  <c r="E33" i="33" s="1"/>
  <c r="G33" i="33" s="1"/>
  <c r="E33" i="30" s="1"/>
  <c r="G14" i="48"/>
  <c r="E43" i="60"/>
  <c r="A56" i="34"/>
  <c r="A20" i="18"/>
  <c r="N21" i="18"/>
  <c r="F22" i="18"/>
  <c r="D38" i="15" s="1"/>
  <c r="F23" i="18"/>
  <c r="D39" i="15" s="1"/>
  <c r="F20" i="18"/>
  <c r="D36" i="15" s="1"/>
  <c r="A51" i="20"/>
  <c r="N52" i="20"/>
  <c r="N34" i="36"/>
  <c r="C31" i="37"/>
  <c r="B72" i="29"/>
  <c r="F17" i="18"/>
  <c r="D33" i="15" s="1"/>
  <c r="J42" i="60"/>
  <c r="J45" i="60" s="1"/>
  <c r="J46" i="60" s="1"/>
  <c r="G46" i="26"/>
  <c r="G44" i="24"/>
  <c r="H42" i="24"/>
  <c r="B44" i="28"/>
  <c r="E44" i="24"/>
  <c r="F15" i="18"/>
  <c r="D31" i="15" s="1"/>
  <c r="F44" i="24"/>
  <c r="H42" i="60"/>
  <c r="H45" i="60" s="1"/>
  <c r="I43" i="16"/>
  <c r="H44" i="24"/>
  <c r="C26" i="8"/>
  <c r="G42" i="60"/>
  <c r="G45" i="60" s="1"/>
  <c r="G51" i="40"/>
  <c r="E36" i="28" s="1"/>
  <c r="D30" i="34"/>
  <c r="E30" i="34" s="1"/>
  <c r="G30" i="34" s="1"/>
  <c r="F30" i="30" s="1"/>
  <c r="E30" i="31"/>
  <c r="D30" i="33"/>
  <c r="E30" i="33" s="1"/>
  <c r="G30" i="33" s="1"/>
  <c r="E30" i="30" s="1"/>
  <c r="F42" i="24"/>
  <c r="G43" i="16"/>
  <c r="D30" i="32"/>
  <c r="E30" i="32" s="1"/>
  <c r="G30" i="32" s="1"/>
  <c r="D30" i="30" s="1"/>
  <c r="F14" i="18"/>
  <c r="D30" i="15" s="1"/>
  <c r="A50" i="19"/>
  <c r="N51" i="19"/>
  <c r="C26" i="7"/>
  <c r="N54" i="21"/>
  <c r="A53" i="21"/>
  <c r="F19" i="18"/>
  <c r="D35" i="15" s="1"/>
  <c r="C42" i="16"/>
  <c r="C45" i="16" s="1"/>
  <c r="C43" i="16"/>
  <c r="H44" i="26"/>
  <c r="J42" i="16"/>
  <c r="J45" i="16" s="1"/>
  <c r="J46" i="16" s="1"/>
  <c r="H42" i="16"/>
  <c r="H45" i="16" s="1"/>
  <c r="A21" i="16"/>
  <c r="A20" i="16" s="1"/>
  <c r="E43" i="16"/>
  <c r="D43" i="16"/>
  <c r="F18" i="18"/>
  <c r="D34" i="15" s="1"/>
  <c r="F43" i="24"/>
  <c r="H45" i="24"/>
  <c r="G49" i="17"/>
  <c r="A49" i="17"/>
  <c r="O49" i="17"/>
  <c r="N48" i="17"/>
  <c r="C26" i="9"/>
  <c r="A17" i="30"/>
  <c r="D28" i="16"/>
  <c r="F51" i="17"/>
  <c r="G51" i="17" s="1"/>
  <c r="E48" i="29"/>
  <c r="F11" i="60"/>
  <c r="G11" i="60" s="1"/>
  <c r="D28" i="60"/>
  <c r="A57" i="32"/>
  <c r="A60" i="32"/>
  <c r="F45" i="24"/>
  <c r="G44" i="26"/>
  <c r="A11" i="6"/>
  <c r="F21" i="18"/>
  <c r="D37" i="15" s="1"/>
  <c r="D14" i="5"/>
  <c r="G42" i="16"/>
  <c r="G45" i="16" s="1"/>
  <c r="D33" i="34"/>
  <c r="E33" i="34" s="1"/>
  <c r="G33" i="34" s="1"/>
  <c r="F33" i="30" s="1"/>
  <c r="E33" i="31"/>
  <c r="G33" i="31" s="1"/>
  <c r="C33" i="30" s="1"/>
  <c r="D42" i="60"/>
  <c r="D45" i="60" s="1"/>
  <c r="I42" i="60"/>
  <c r="I45" i="60" s="1"/>
  <c r="F42" i="16"/>
  <c r="F45" i="16" s="1"/>
  <c r="E26" i="13"/>
  <c r="I43" i="60"/>
  <c r="H43" i="24"/>
  <c r="E19" i="37"/>
  <c r="E46" i="26"/>
  <c r="G21" i="1"/>
  <c r="H43" i="60"/>
  <c r="C28" i="60"/>
  <c r="E15" i="37"/>
  <c r="E26" i="29"/>
  <c r="G26" i="29" s="1"/>
  <c r="E25" i="29"/>
  <c r="G25" i="29" s="1"/>
  <c r="E27" i="29"/>
  <c r="E24" i="29"/>
  <c r="G24" i="29" s="1"/>
  <c r="E28" i="29"/>
  <c r="E29" i="29"/>
  <c r="G21" i="29"/>
  <c r="E23" i="29"/>
  <c r="G23" i="29" s="1"/>
  <c r="E19" i="29"/>
  <c r="E20" i="29"/>
  <c r="G20" i="29" s="1"/>
  <c r="E22" i="29"/>
  <c r="G22" i="29" s="1"/>
  <c r="E18" i="29"/>
  <c r="G18" i="29" s="1"/>
  <c r="D31" i="33"/>
  <c r="E31" i="33" s="1"/>
  <c r="G31" i="33" s="1"/>
  <c r="E31" i="30" s="1"/>
  <c r="D31" i="34"/>
  <c r="E31" i="34" s="1"/>
  <c r="G31" i="34" s="1"/>
  <c r="F31" i="30" s="1"/>
  <c r="D31" i="32"/>
  <c r="E31" i="32" s="1"/>
  <c r="G31" i="32" s="1"/>
  <c r="D31" i="30" s="1"/>
  <c r="E31" i="31"/>
  <c r="A39" i="60"/>
  <c r="A21" i="60"/>
  <c r="E26" i="11"/>
  <c r="G15" i="1"/>
  <c r="G45" i="26"/>
  <c r="D43" i="60"/>
  <c r="G43" i="24"/>
  <c r="E42" i="60"/>
  <c r="E45" i="60" s="1"/>
  <c r="E47" i="26"/>
  <c r="E25" i="35"/>
  <c r="E31" i="35" s="1"/>
  <c r="E34" i="35" s="1"/>
  <c r="G47" i="26"/>
  <c r="H43" i="16"/>
  <c r="D60" i="22"/>
  <c r="H47" i="26"/>
  <c r="E43" i="24"/>
  <c r="E11" i="24"/>
  <c r="D28" i="24" s="1"/>
  <c r="C45" i="26"/>
  <c r="G45" i="24"/>
  <c r="F47" i="26"/>
  <c r="F45" i="26"/>
  <c r="F44" i="26"/>
  <c r="E26" i="12"/>
  <c r="E42" i="24"/>
  <c r="E26" i="14"/>
  <c r="C42" i="24"/>
  <c r="B30" i="13"/>
  <c r="A23" i="13"/>
  <c r="A22" i="13" s="1"/>
  <c r="A21" i="13" s="1"/>
  <c r="A20" i="13" s="1"/>
  <c r="A19" i="13" s="1"/>
  <c r="A18" i="13" s="1"/>
  <c r="A17" i="13" s="1"/>
  <c r="A16" i="13" s="1"/>
  <c r="A15" i="13" s="1"/>
  <c r="A14" i="13" s="1"/>
  <c r="H45" i="26"/>
  <c r="D26" i="58"/>
  <c r="D28" i="58" s="1"/>
  <c r="F46" i="26"/>
  <c r="E45" i="24"/>
  <c r="E28" i="16"/>
  <c r="C26" i="10"/>
  <c r="I42" i="16"/>
  <c r="I45" i="16" s="1"/>
  <c r="A38" i="24"/>
  <c r="A20" i="24"/>
  <c r="G43" i="60"/>
  <c r="H11" i="26"/>
  <c r="G29" i="26" s="1"/>
  <c r="H46" i="26"/>
  <c r="D45" i="26"/>
  <c r="D44" i="26"/>
  <c r="E42" i="16"/>
  <c r="E45" i="16" s="1"/>
  <c r="C47" i="26"/>
  <c r="F42" i="60"/>
  <c r="F45" i="60" s="1"/>
  <c r="F43" i="60"/>
  <c r="C44" i="24"/>
  <c r="C45" i="24"/>
  <c r="C44" i="26"/>
  <c r="C43" i="60"/>
  <c r="G42" i="24"/>
  <c r="A19" i="8"/>
  <c r="F43" i="16"/>
  <c r="D43" i="24"/>
  <c r="D45" i="24"/>
  <c r="D44" i="24"/>
  <c r="D42" i="24"/>
  <c r="C43" i="24"/>
  <c r="E45" i="26"/>
  <c r="D47" i="26"/>
  <c r="D46" i="26"/>
  <c r="D42" i="16"/>
  <c r="D45" i="16" s="1"/>
  <c r="A17" i="7"/>
  <c r="A16" i="7" s="1"/>
  <c r="A15" i="7" s="1"/>
  <c r="E44" i="26"/>
  <c r="A17" i="10"/>
  <c r="A18" i="9"/>
  <c r="H11" i="16"/>
  <c r="G28" i="16" s="1"/>
  <c r="I46" i="60" l="1"/>
  <c r="H46" i="60" s="1"/>
  <c r="G46" i="60" s="1"/>
  <c r="F46" i="60" s="1"/>
  <c r="E46" i="60" s="1"/>
  <c r="D46" i="60" s="1"/>
  <c r="C46" i="60" s="1"/>
  <c r="G23" i="1"/>
  <c r="A31" i="29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19" i="26"/>
  <c r="A18" i="26" s="1"/>
  <c r="A17" i="26" s="1"/>
  <c r="G30" i="31"/>
  <c r="C30" i="30" s="1"/>
  <c r="A19" i="18"/>
  <c r="N20" i="18"/>
  <c r="N51" i="20"/>
  <c r="A50" i="20"/>
  <c r="E28" i="60"/>
  <c r="E38" i="28"/>
  <c r="F36" i="28"/>
  <c r="E46" i="29"/>
  <c r="C20" i="28" s="1"/>
  <c r="E31" i="37"/>
  <c r="E34" i="37" s="1"/>
  <c r="C18" i="27" s="1"/>
  <c r="A52" i="21"/>
  <c r="N53" i="21"/>
  <c r="N50" i="19"/>
  <c r="A49" i="19"/>
  <c r="I46" i="16"/>
  <c r="H46" i="16" s="1"/>
  <c r="G46" i="16" s="1"/>
  <c r="F46" i="16" s="1"/>
  <c r="E46" i="16" s="1"/>
  <c r="A38" i="16"/>
  <c r="D16" i="7"/>
  <c r="E16" i="7" s="1"/>
  <c r="C16" i="3" s="1"/>
  <c r="D14" i="3"/>
  <c r="D17" i="3" s="1"/>
  <c r="D23" i="5"/>
  <c r="D20" i="5"/>
  <c r="D18" i="5"/>
  <c r="D22" i="5"/>
  <c r="D17" i="5"/>
  <c r="D15" i="5"/>
  <c r="D16" i="5"/>
  <c r="D19" i="5"/>
  <c r="D21" i="5"/>
  <c r="H52" i="17"/>
  <c r="C22" i="15"/>
  <c r="O48" i="17"/>
  <c r="A48" i="17"/>
  <c r="N47" i="17"/>
  <c r="F28" i="60"/>
  <c r="A18" i="30"/>
  <c r="H11" i="60"/>
  <c r="G28" i="60" s="1"/>
  <c r="D14" i="4"/>
  <c r="D14" i="6"/>
  <c r="E49" i="29"/>
  <c r="A59" i="34"/>
  <c r="A59" i="33"/>
  <c r="D31" i="35"/>
  <c r="C17" i="27"/>
  <c r="G31" i="31"/>
  <c r="C31" i="30" s="1"/>
  <c r="E47" i="29"/>
  <c r="G17" i="29"/>
  <c r="D17" i="31"/>
  <c r="D16" i="31"/>
  <c r="D15" i="31"/>
  <c r="D14" i="34"/>
  <c r="E14" i="34" s="1"/>
  <c r="G14" i="31"/>
  <c r="D14" i="33"/>
  <c r="E14" i="33" s="1"/>
  <c r="D18" i="31"/>
  <c r="D14" i="32"/>
  <c r="E14" i="32" s="1"/>
  <c r="A38" i="60"/>
  <c r="A20" i="60"/>
  <c r="F11" i="24"/>
  <c r="E28" i="24" s="1"/>
  <c r="A37" i="24"/>
  <c r="A19" i="24"/>
  <c r="I11" i="26"/>
  <c r="I29" i="26" s="1"/>
  <c r="A18" i="8"/>
  <c r="A14" i="7"/>
  <c r="D15" i="7"/>
  <c r="E15" i="7" s="1"/>
  <c r="A16" i="10"/>
  <c r="A17" i="9"/>
  <c r="I11" i="16"/>
  <c r="H28" i="16" s="1"/>
  <c r="A19" i="16"/>
  <c r="A37" i="16"/>
  <c r="C20" i="27" l="1"/>
  <c r="F38" i="28"/>
  <c r="E15" i="28"/>
  <c r="E16" i="28"/>
  <c r="E14" i="28"/>
  <c r="A37" i="26"/>
  <c r="A36" i="26"/>
  <c r="D20" i="3"/>
  <c r="A18" i="18"/>
  <c r="N19" i="18"/>
  <c r="A49" i="20"/>
  <c r="N50" i="20"/>
  <c r="D31" i="37"/>
  <c r="N52" i="21"/>
  <c r="A51" i="21"/>
  <c r="A48" i="19"/>
  <c r="N49" i="19"/>
  <c r="D46" i="16"/>
  <c r="C46" i="16" s="1"/>
  <c r="D23" i="3"/>
  <c r="D17" i="7"/>
  <c r="E17" i="7" s="1"/>
  <c r="C17" i="3" s="1"/>
  <c r="D18" i="3"/>
  <c r="D16" i="3"/>
  <c r="D19" i="3"/>
  <c r="D22" i="3"/>
  <c r="D21" i="3"/>
  <c r="D15" i="3"/>
  <c r="C39" i="15"/>
  <c r="A47" i="17"/>
  <c r="O47" i="17"/>
  <c r="N46" i="17"/>
  <c r="A19" i="30"/>
  <c r="I11" i="60"/>
  <c r="H28" i="60" s="1"/>
  <c r="D20" i="6"/>
  <c r="D22" i="6"/>
  <c r="D23" i="6"/>
  <c r="D19" i="6"/>
  <c r="D15" i="6"/>
  <c r="D16" i="6"/>
  <c r="D21" i="6"/>
  <c r="D17" i="6"/>
  <c r="D18" i="6"/>
  <c r="D21" i="4"/>
  <c r="D16" i="4"/>
  <c r="D19" i="4"/>
  <c r="D20" i="4"/>
  <c r="D15" i="4"/>
  <c r="D17" i="4"/>
  <c r="D23" i="4"/>
  <c r="D22" i="4"/>
  <c r="D18" i="4"/>
  <c r="D27" i="34"/>
  <c r="E27" i="34" s="1"/>
  <c r="G27" i="34" s="1"/>
  <c r="F27" i="30" s="1"/>
  <c r="D27" i="32"/>
  <c r="E27" i="32" s="1"/>
  <c r="G27" i="32" s="1"/>
  <c r="D27" i="30" s="1"/>
  <c r="D27" i="33"/>
  <c r="E27" i="33" s="1"/>
  <c r="G27" i="33" s="1"/>
  <c r="E27" i="30" s="1"/>
  <c r="E27" i="31"/>
  <c r="G14" i="33"/>
  <c r="E14" i="30" s="1"/>
  <c r="E19" i="31"/>
  <c r="D19" i="33"/>
  <c r="E19" i="33" s="1"/>
  <c r="G19" i="33" s="1"/>
  <c r="E19" i="30" s="1"/>
  <c r="D19" i="32"/>
  <c r="E19" i="32" s="1"/>
  <c r="G19" i="32" s="1"/>
  <c r="D19" i="30" s="1"/>
  <c r="D19" i="34"/>
  <c r="E19" i="34" s="1"/>
  <c r="G19" i="34" s="1"/>
  <c r="F19" i="30" s="1"/>
  <c r="D26" i="33"/>
  <c r="E26" i="33" s="1"/>
  <c r="G26" i="33" s="1"/>
  <c r="E26" i="30" s="1"/>
  <c r="D26" i="32"/>
  <c r="E26" i="32" s="1"/>
  <c r="G26" i="32" s="1"/>
  <c r="D26" i="30" s="1"/>
  <c r="D26" i="34"/>
  <c r="E26" i="34" s="1"/>
  <c r="G26" i="34" s="1"/>
  <c r="F26" i="30" s="1"/>
  <c r="E26" i="31"/>
  <c r="D29" i="33"/>
  <c r="E29" i="33" s="1"/>
  <c r="G29" i="33" s="1"/>
  <c r="E29" i="30" s="1"/>
  <c r="D29" i="34"/>
  <c r="E29" i="34" s="1"/>
  <c r="G29" i="34" s="1"/>
  <c r="F29" i="30" s="1"/>
  <c r="D29" i="32"/>
  <c r="E29" i="32" s="1"/>
  <c r="G29" i="32" s="1"/>
  <c r="D29" i="30" s="1"/>
  <c r="E29" i="31"/>
  <c r="D23" i="32"/>
  <c r="E23" i="32" s="1"/>
  <c r="G23" i="32" s="1"/>
  <c r="D23" i="30" s="1"/>
  <c r="D23" i="33"/>
  <c r="E23" i="33" s="1"/>
  <c r="G23" i="33" s="1"/>
  <c r="E23" i="30" s="1"/>
  <c r="D23" i="34"/>
  <c r="E23" i="34" s="1"/>
  <c r="G23" i="34" s="1"/>
  <c r="F23" i="30" s="1"/>
  <c r="E23" i="31"/>
  <c r="E21" i="31"/>
  <c r="G21" i="31" s="1"/>
  <c r="C21" i="30" s="1"/>
  <c r="D21" i="33"/>
  <c r="E21" i="33" s="1"/>
  <c r="D21" i="32"/>
  <c r="E21" i="32" s="1"/>
  <c r="G21" i="32" s="1"/>
  <c r="D21" i="30" s="1"/>
  <c r="D21" i="34"/>
  <c r="E21" i="34" s="1"/>
  <c r="G21" i="34" s="1"/>
  <c r="F21" i="30" s="1"/>
  <c r="D24" i="33"/>
  <c r="E24" i="33" s="1"/>
  <c r="G24" i="33" s="1"/>
  <c r="E24" i="30" s="1"/>
  <c r="D24" i="32"/>
  <c r="E24" i="32" s="1"/>
  <c r="G24" i="32" s="1"/>
  <c r="D24" i="30" s="1"/>
  <c r="D24" i="34"/>
  <c r="E24" i="34" s="1"/>
  <c r="G24" i="34" s="1"/>
  <c r="F24" i="30" s="1"/>
  <c r="E24" i="31"/>
  <c r="G14" i="34"/>
  <c r="F14" i="30" s="1"/>
  <c r="D28" i="34"/>
  <c r="E28" i="34" s="1"/>
  <c r="G28" i="34" s="1"/>
  <c r="F28" i="30" s="1"/>
  <c r="D28" i="32"/>
  <c r="E28" i="32" s="1"/>
  <c r="G28" i="32" s="1"/>
  <c r="D28" i="30" s="1"/>
  <c r="D28" i="33"/>
  <c r="E28" i="33" s="1"/>
  <c r="G28" i="33" s="1"/>
  <c r="E28" i="30" s="1"/>
  <c r="E28" i="31"/>
  <c r="D25" i="33"/>
  <c r="E25" i="33" s="1"/>
  <c r="G25" i="33" s="1"/>
  <c r="E25" i="30" s="1"/>
  <c r="D25" i="32"/>
  <c r="E25" i="32" s="1"/>
  <c r="G25" i="32" s="1"/>
  <c r="D25" i="30" s="1"/>
  <c r="D25" i="34"/>
  <c r="E25" i="34" s="1"/>
  <c r="G25" i="34" s="1"/>
  <c r="F25" i="30" s="1"/>
  <c r="E25" i="31"/>
  <c r="D18" i="34"/>
  <c r="E18" i="34" s="1"/>
  <c r="G18" i="34" s="1"/>
  <c r="F18" i="30" s="1"/>
  <c r="E18" i="31"/>
  <c r="D18" i="32"/>
  <c r="E18" i="32" s="1"/>
  <c r="G18" i="32" s="1"/>
  <c r="D18" i="30" s="1"/>
  <c r="D18" i="33"/>
  <c r="E18" i="33" s="1"/>
  <c r="G18" i="33" s="1"/>
  <c r="E18" i="30" s="1"/>
  <c r="D22" i="33"/>
  <c r="E22" i="33" s="1"/>
  <c r="G22" i="33" s="1"/>
  <c r="E22" i="30" s="1"/>
  <c r="D22" i="34"/>
  <c r="E22" i="34" s="1"/>
  <c r="G22" i="34" s="1"/>
  <c r="F22" i="30" s="1"/>
  <c r="D22" i="32"/>
  <c r="E22" i="32" s="1"/>
  <c r="G22" i="32" s="1"/>
  <c r="D22" i="30" s="1"/>
  <c r="E22" i="31"/>
  <c r="E17" i="31"/>
  <c r="D17" i="34"/>
  <c r="E17" i="34" s="1"/>
  <c r="G17" i="34" s="1"/>
  <c r="F17" i="30" s="1"/>
  <c r="D17" i="32"/>
  <c r="E17" i="32" s="1"/>
  <c r="G17" i="32" s="1"/>
  <c r="D17" i="30" s="1"/>
  <c r="D17" i="33"/>
  <c r="E17" i="33" s="1"/>
  <c r="G17" i="33" s="1"/>
  <c r="E17" i="30" s="1"/>
  <c r="G14" i="32"/>
  <c r="D14" i="30" s="1"/>
  <c r="D20" i="32"/>
  <c r="E20" i="32" s="1"/>
  <c r="G20" i="32" s="1"/>
  <c r="D20" i="30" s="1"/>
  <c r="D20" i="34"/>
  <c r="E20" i="34" s="1"/>
  <c r="G20" i="34" s="1"/>
  <c r="F20" i="30" s="1"/>
  <c r="D20" i="33"/>
  <c r="E20" i="33" s="1"/>
  <c r="G20" i="33" s="1"/>
  <c r="E20" i="30" s="1"/>
  <c r="E20" i="31"/>
  <c r="C14" i="30"/>
  <c r="E30" i="29"/>
  <c r="C17" i="28" s="1"/>
  <c r="E15" i="31"/>
  <c r="D15" i="34"/>
  <c r="E15" i="34" s="1"/>
  <c r="G15" i="34" s="1"/>
  <c r="F15" i="30" s="1"/>
  <c r="D15" i="32"/>
  <c r="E15" i="32" s="1"/>
  <c r="G15" i="32" s="1"/>
  <c r="D15" i="30" s="1"/>
  <c r="D15" i="33"/>
  <c r="E15" i="33" s="1"/>
  <c r="G15" i="33" s="1"/>
  <c r="E15" i="30" s="1"/>
  <c r="D16" i="34"/>
  <c r="E16" i="34" s="1"/>
  <c r="G16" i="34" s="1"/>
  <c r="F16" i="30" s="1"/>
  <c r="D16" i="33"/>
  <c r="E16" i="33" s="1"/>
  <c r="G16" i="33" s="1"/>
  <c r="E16" i="30" s="1"/>
  <c r="D16" i="32"/>
  <c r="E16" i="32" s="1"/>
  <c r="G16" i="32" s="1"/>
  <c r="D16" i="30" s="1"/>
  <c r="E16" i="31"/>
  <c r="A37" i="60"/>
  <c r="A19" i="60"/>
  <c r="G11" i="24"/>
  <c r="F28" i="24" s="1"/>
  <c r="H29" i="26"/>
  <c r="A18" i="24"/>
  <c r="A36" i="24"/>
  <c r="D18" i="8"/>
  <c r="E18" i="8" s="1"/>
  <c r="C18" i="4" s="1"/>
  <c r="A17" i="8"/>
  <c r="A16" i="26"/>
  <c r="A35" i="26"/>
  <c r="A16" i="9"/>
  <c r="C15" i="3"/>
  <c r="A36" i="16"/>
  <c r="A18" i="16"/>
  <c r="J11" i="16"/>
  <c r="I28" i="16" s="1"/>
  <c r="A15" i="10"/>
  <c r="D16" i="10" s="1"/>
  <c r="E16" i="10" s="1"/>
  <c r="C16" i="6" s="1"/>
  <c r="A17" i="18" l="1"/>
  <c r="N18" i="18"/>
  <c r="A48" i="20"/>
  <c r="N49" i="20"/>
  <c r="N51" i="21"/>
  <c r="A50" i="21"/>
  <c r="A47" i="19"/>
  <c r="N48" i="19"/>
  <c r="D18" i="10"/>
  <c r="E18" i="10" s="1"/>
  <c r="C18" i="6" s="1"/>
  <c r="D18" i="7"/>
  <c r="E18" i="7" s="1"/>
  <c r="D18" i="9"/>
  <c r="E18" i="9" s="1"/>
  <c r="C18" i="5" s="1"/>
  <c r="A46" i="17"/>
  <c r="O46" i="17"/>
  <c r="N45" i="17"/>
  <c r="A20" i="30"/>
  <c r="J11" i="60"/>
  <c r="I28" i="60" s="1"/>
  <c r="G15" i="31"/>
  <c r="C15" i="30" s="1"/>
  <c r="E31" i="29"/>
  <c r="G20" i="31"/>
  <c r="C20" i="30" s="1"/>
  <c r="E36" i="29"/>
  <c r="C19" i="28" s="1"/>
  <c r="G19" i="31"/>
  <c r="C19" i="30" s="1"/>
  <c r="E35" i="29"/>
  <c r="G22" i="31"/>
  <c r="C22" i="30" s="1"/>
  <c r="E38" i="29"/>
  <c r="G28" i="31"/>
  <c r="C28" i="30" s="1"/>
  <c r="E44" i="29"/>
  <c r="G16" i="31"/>
  <c r="C16" i="30" s="1"/>
  <c r="E32" i="29"/>
  <c r="G18" i="31"/>
  <c r="C18" i="30" s="1"/>
  <c r="E34" i="29"/>
  <c r="E40" i="29"/>
  <c r="G24" i="31"/>
  <c r="C24" i="30" s="1"/>
  <c r="G23" i="31"/>
  <c r="C23" i="30" s="1"/>
  <c r="E39" i="29"/>
  <c r="E45" i="29"/>
  <c r="G29" i="31"/>
  <c r="C29" i="30" s="1"/>
  <c r="E42" i="29"/>
  <c r="G26" i="31"/>
  <c r="C26" i="30" s="1"/>
  <c r="G25" i="31"/>
  <c r="C25" i="30" s="1"/>
  <c r="E41" i="29"/>
  <c r="E37" i="29"/>
  <c r="G21" i="33"/>
  <c r="E21" i="30" s="1"/>
  <c r="E43" i="29"/>
  <c r="G27" i="31"/>
  <c r="C27" i="30" s="1"/>
  <c r="E33" i="29"/>
  <c r="C18" i="28" s="1"/>
  <c r="G17" i="31"/>
  <c r="C17" i="30" s="1"/>
  <c r="A36" i="60"/>
  <c r="A18" i="60"/>
  <c r="H11" i="24"/>
  <c r="G28" i="24" s="1"/>
  <c r="A17" i="24"/>
  <c r="A35" i="24"/>
  <c r="A16" i="8"/>
  <c r="A34" i="26"/>
  <c r="A15" i="26"/>
  <c r="K11" i="16"/>
  <c r="K28" i="16" s="1"/>
  <c r="D15" i="10"/>
  <c r="E15" i="10" s="1"/>
  <c r="A14" i="10"/>
  <c r="D17" i="10"/>
  <c r="E17" i="10" s="1"/>
  <c r="C17" i="6" s="1"/>
  <c r="A17" i="16"/>
  <c r="A35" i="16"/>
  <c r="A15" i="9"/>
  <c r="D16" i="9" s="1"/>
  <c r="E16" i="9" s="1"/>
  <c r="C16" i="5" s="1"/>
  <c r="A16" i="18" l="1"/>
  <c r="N17" i="18"/>
  <c r="N48" i="20"/>
  <c r="A47" i="20"/>
  <c r="N50" i="21"/>
  <c r="A49" i="21"/>
  <c r="N47" i="19"/>
  <c r="A46" i="19"/>
  <c r="C18" i="3"/>
  <c r="D19" i="7"/>
  <c r="E19" i="7" s="1"/>
  <c r="C19" i="3" s="1"/>
  <c r="D19" i="10"/>
  <c r="E19" i="10" s="1"/>
  <c r="C19" i="6" s="1"/>
  <c r="D19" i="9"/>
  <c r="E19" i="9" s="1"/>
  <c r="C19" i="5" s="1"/>
  <c r="D19" i="8"/>
  <c r="E19" i="8" s="1"/>
  <c r="C19" i="4" s="1"/>
  <c r="O45" i="17"/>
  <c r="N44" i="17"/>
  <c r="A45" i="17"/>
  <c r="A21" i="30"/>
  <c r="K11" i="60"/>
  <c r="K28" i="60" s="1"/>
  <c r="A35" i="60"/>
  <c r="A17" i="60"/>
  <c r="I11" i="24"/>
  <c r="I28" i="24" s="1"/>
  <c r="A16" i="24"/>
  <c r="A34" i="24"/>
  <c r="A14" i="26"/>
  <c r="A32" i="26" s="1"/>
  <c r="A33" i="26"/>
  <c r="J28" i="16"/>
  <c r="A15" i="8"/>
  <c r="D16" i="8" s="1"/>
  <c r="E16" i="8" s="1"/>
  <c r="C16" i="4" s="1"/>
  <c r="C15" i="6"/>
  <c r="A16" i="16"/>
  <c r="A34" i="16"/>
  <c r="D15" i="9"/>
  <c r="E15" i="9" s="1"/>
  <c r="A14" i="9"/>
  <c r="D17" i="9"/>
  <c r="E17" i="9" s="1"/>
  <c r="C17" i="5" s="1"/>
  <c r="A15" i="18" l="1"/>
  <c r="N16" i="18"/>
  <c r="A46" i="20"/>
  <c r="N47" i="20"/>
  <c r="N46" i="19"/>
  <c r="A45" i="19"/>
  <c r="A48" i="21"/>
  <c r="N49" i="21"/>
  <c r="D20" i="10"/>
  <c r="E20" i="10" s="1"/>
  <c r="D20" i="7"/>
  <c r="E20" i="7" s="1"/>
  <c r="C20" i="3" s="1"/>
  <c r="D20" i="9"/>
  <c r="E20" i="9" s="1"/>
  <c r="C20" i="5" s="1"/>
  <c r="D20" i="8"/>
  <c r="E20" i="8" s="1"/>
  <c r="C20" i="4" s="1"/>
  <c r="N43" i="17"/>
  <c r="O44" i="17"/>
  <c r="A44" i="17"/>
  <c r="A22" i="30"/>
  <c r="J28" i="60"/>
  <c r="H28" i="24"/>
  <c r="A16" i="60"/>
  <c r="A34" i="60"/>
  <c r="A15" i="24"/>
  <c r="A33" i="24"/>
  <c r="A14" i="8"/>
  <c r="D15" i="8"/>
  <c r="E15" i="8" s="1"/>
  <c r="D17" i="8"/>
  <c r="E17" i="8" s="1"/>
  <c r="C17" i="4" s="1"/>
  <c r="A33" i="16"/>
  <c r="A15" i="16"/>
  <c r="C15" i="5"/>
  <c r="A14" i="18" l="1"/>
  <c r="N14" i="18" s="1"/>
  <c r="N15" i="18"/>
  <c r="A45" i="20"/>
  <c r="N46" i="20"/>
  <c r="N45" i="19"/>
  <c r="A44" i="19"/>
  <c r="N48" i="21"/>
  <c r="A47" i="21"/>
  <c r="D21" i="7"/>
  <c r="E21" i="7" s="1"/>
  <c r="C21" i="3" s="1"/>
  <c r="D21" i="10"/>
  <c r="E21" i="10" s="1"/>
  <c r="C21" i="6" s="1"/>
  <c r="D21" i="9"/>
  <c r="E21" i="9" s="1"/>
  <c r="D21" i="8"/>
  <c r="E21" i="8" s="1"/>
  <c r="C21" i="4" s="1"/>
  <c r="C20" i="6"/>
  <c r="O43" i="17"/>
  <c r="A43" i="17"/>
  <c r="N42" i="17"/>
  <c r="A23" i="30"/>
  <c r="A33" i="60"/>
  <c r="A15" i="60"/>
  <c r="A14" i="24"/>
  <c r="A31" i="24" s="1"/>
  <c r="A32" i="24"/>
  <c r="C15" i="4"/>
  <c r="A14" i="16"/>
  <c r="A31" i="16" s="1"/>
  <c r="A32" i="16"/>
  <c r="A44" i="20" l="1"/>
  <c r="N45" i="20"/>
  <c r="N44" i="19"/>
  <c r="A43" i="19"/>
  <c r="N47" i="21"/>
  <c r="A46" i="21"/>
  <c r="C21" i="5"/>
  <c r="D22" i="7"/>
  <c r="E22" i="7" s="1"/>
  <c r="D22" i="10"/>
  <c r="E22" i="10" s="1"/>
  <c r="C22" i="6" s="1"/>
  <c r="D22" i="9"/>
  <c r="E22" i="9" s="1"/>
  <c r="C22" i="5" s="1"/>
  <c r="D22" i="8"/>
  <c r="E22" i="8" s="1"/>
  <c r="O42" i="17"/>
  <c r="A42" i="17"/>
  <c r="N41" i="17"/>
  <c r="A24" i="30"/>
  <c r="A14" i="60"/>
  <c r="A31" i="60" s="1"/>
  <c r="A32" i="60"/>
  <c r="A43" i="20" l="1"/>
  <c r="N44" i="20"/>
  <c r="A45" i="21"/>
  <c r="N46" i="21"/>
  <c r="A42" i="19"/>
  <c r="N43" i="19"/>
  <c r="D23" i="7"/>
  <c r="E23" i="7" s="1"/>
  <c r="C23" i="3" s="1"/>
  <c r="D23" i="10"/>
  <c r="D23" i="9"/>
  <c r="E23" i="9" s="1"/>
  <c r="C23" i="5" s="1"/>
  <c r="D23" i="8"/>
  <c r="E23" i="8" s="1"/>
  <c r="C23" i="4" s="1"/>
  <c r="C22" i="3"/>
  <c r="C22" i="4"/>
  <c r="O41" i="17"/>
  <c r="A41" i="17"/>
  <c r="N40" i="17"/>
  <c r="A25" i="30"/>
  <c r="E23" i="10" l="1"/>
  <c r="C23" i="6" s="1"/>
  <c r="C26" i="6" s="1"/>
  <c r="C26" i="5"/>
  <c r="A42" i="20"/>
  <c r="N43" i="20"/>
  <c r="N42" i="19"/>
  <c r="A41" i="19"/>
  <c r="N45" i="21"/>
  <c r="A44" i="21"/>
  <c r="E26" i="7"/>
  <c r="C26" i="4"/>
  <c r="E26" i="9"/>
  <c r="E26" i="8"/>
  <c r="C26" i="3"/>
  <c r="N39" i="17"/>
  <c r="A40" i="17"/>
  <c r="O40" i="17"/>
  <c r="A26" i="30"/>
  <c r="E26" i="10" l="1"/>
  <c r="N42" i="20"/>
  <c r="A41" i="20"/>
  <c r="A40" i="19"/>
  <c r="N41" i="19"/>
  <c r="J43" i="19"/>
  <c r="K51" i="19"/>
  <c r="J44" i="19"/>
  <c r="K46" i="19"/>
  <c r="J46" i="19"/>
  <c r="J52" i="19"/>
  <c r="J48" i="19"/>
  <c r="K57" i="19"/>
  <c r="J45" i="19"/>
  <c r="K50" i="19"/>
  <c r="J57" i="19"/>
  <c r="K43" i="19"/>
  <c r="K53" i="19"/>
  <c r="J47" i="19"/>
  <c r="K52" i="19"/>
  <c r="K42" i="19"/>
  <c r="K45" i="19"/>
  <c r="K47" i="19"/>
  <c r="J53" i="19"/>
  <c r="K49" i="19"/>
  <c r="J50" i="19"/>
  <c r="J49" i="19"/>
  <c r="K44" i="19"/>
  <c r="J42" i="19"/>
  <c r="J51" i="19"/>
  <c r="K48" i="19"/>
  <c r="N44" i="21"/>
  <c r="A43" i="21"/>
  <c r="A39" i="17"/>
  <c r="O39" i="17"/>
  <c r="N38" i="17"/>
  <c r="A27" i="30"/>
  <c r="J56" i="19" l="1"/>
  <c r="N41" i="20"/>
  <c r="A40" i="20"/>
  <c r="K47" i="20"/>
  <c r="K45" i="20"/>
  <c r="K49" i="20"/>
  <c r="J53" i="20"/>
  <c r="K51" i="20"/>
  <c r="K53" i="20"/>
  <c r="K42" i="20"/>
  <c r="J45" i="20"/>
  <c r="J42" i="20"/>
  <c r="J46" i="20"/>
  <c r="J50" i="20"/>
  <c r="J57" i="20"/>
  <c r="K48" i="20"/>
  <c r="K43" i="20"/>
  <c r="J48" i="20"/>
  <c r="J44" i="20"/>
  <c r="J52" i="20"/>
  <c r="K44" i="20"/>
  <c r="J47" i="20"/>
  <c r="K52" i="20"/>
  <c r="J51" i="20"/>
  <c r="K57" i="20"/>
  <c r="K50" i="20"/>
  <c r="K46" i="20"/>
  <c r="J43" i="20"/>
  <c r="J49" i="20"/>
  <c r="A42" i="21"/>
  <c r="N43" i="21"/>
  <c r="K48" i="21"/>
  <c r="J47" i="21"/>
  <c r="K59" i="21"/>
  <c r="J55" i="21"/>
  <c r="J54" i="21"/>
  <c r="K55" i="21"/>
  <c r="K51" i="21"/>
  <c r="K53" i="21"/>
  <c r="K44" i="21"/>
  <c r="K54" i="21"/>
  <c r="J53" i="21"/>
  <c r="J46" i="21"/>
  <c r="J51" i="21"/>
  <c r="K50" i="21"/>
  <c r="J49" i="21"/>
  <c r="K52" i="21"/>
  <c r="J44" i="21"/>
  <c r="J52" i="21"/>
  <c r="J50" i="21"/>
  <c r="K47" i="21"/>
  <c r="J48" i="21"/>
  <c r="J45" i="21"/>
  <c r="J59" i="21"/>
  <c r="K45" i="21"/>
  <c r="K46" i="21"/>
  <c r="K49" i="21"/>
  <c r="N40" i="19"/>
  <c r="A39" i="19"/>
  <c r="A38" i="17"/>
  <c r="O38" i="17"/>
  <c r="N37" i="17"/>
  <c r="A28" i="30"/>
  <c r="O23" i="44" l="1"/>
  <c r="J56" i="20"/>
  <c r="A39" i="20"/>
  <c r="N40" i="20"/>
  <c r="J58" i="21"/>
  <c r="A38" i="19"/>
  <c r="N39" i="19"/>
  <c r="N42" i="21"/>
  <c r="A41" i="21"/>
  <c r="A37" i="17"/>
  <c r="O37" i="17"/>
  <c r="N36" i="17"/>
  <c r="A29" i="30"/>
  <c r="C27" i="43" l="1"/>
  <c r="C27" i="42"/>
  <c r="C27" i="41"/>
  <c r="C27" i="44"/>
  <c r="N39" i="20"/>
  <c r="A38" i="20"/>
  <c r="N38" i="19"/>
  <c r="A37" i="19"/>
  <c r="N41" i="21"/>
  <c r="A40" i="21"/>
  <c r="A36" i="17"/>
  <c r="O36" i="17"/>
  <c r="N35" i="17"/>
  <c r="A30" i="30"/>
  <c r="N38" i="20" l="1"/>
  <c r="A37" i="20"/>
  <c r="N37" i="19"/>
  <c r="A36" i="19"/>
  <c r="I47" i="19"/>
  <c r="H41" i="19"/>
  <c r="H48" i="19"/>
  <c r="H38" i="19"/>
  <c r="I45" i="19"/>
  <c r="H42" i="19"/>
  <c r="H40" i="19"/>
  <c r="H43" i="19"/>
  <c r="H47" i="19"/>
  <c r="H44" i="19"/>
  <c r="I49" i="19"/>
  <c r="I50" i="19"/>
  <c r="I43" i="19"/>
  <c r="I56" i="19"/>
  <c r="I53" i="19"/>
  <c r="H50" i="19"/>
  <c r="I48" i="19"/>
  <c r="I46" i="19"/>
  <c r="I38" i="19"/>
  <c r="H49" i="19"/>
  <c r="H52" i="19"/>
  <c r="H57" i="19"/>
  <c r="I40" i="19"/>
  <c r="H45" i="19"/>
  <c r="I51" i="19"/>
  <c r="H51" i="19"/>
  <c r="I42" i="19"/>
  <c r="H46" i="19"/>
  <c r="I52" i="19"/>
  <c r="I41" i="19"/>
  <c r="H39" i="19"/>
  <c r="I57" i="19"/>
  <c r="H53" i="19"/>
  <c r="I39" i="19"/>
  <c r="I44" i="19"/>
  <c r="A39" i="21"/>
  <c r="N40" i="21"/>
  <c r="A35" i="17"/>
  <c r="N34" i="17"/>
  <c r="O35" i="17"/>
  <c r="A31" i="30"/>
  <c r="H56" i="19" l="1"/>
  <c r="A36" i="20"/>
  <c r="N37" i="20"/>
  <c r="H45" i="20"/>
  <c r="I40" i="20"/>
  <c r="H43" i="20"/>
  <c r="I42" i="20"/>
  <c r="I48" i="20"/>
  <c r="H46" i="20"/>
  <c r="I39" i="20"/>
  <c r="H47" i="20"/>
  <c r="I53" i="20"/>
  <c r="I49" i="20"/>
  <c r="I41" i="20"/>
  <c r="H57" i="20"/>
  <c r="H48" i="20"/>
  <c r="I57" i="20"/>
  <c r="I52" i="20"/>
  <c r="H51" i="20"/>
  <c r="H41" i="20"/>
  <c r="H42" i="20"/>
  <c r="I38" i="20"/>
  <c r="H39" i="20"/>
  <c r="H53" i="20"/>
  <c r="H49" i="20"/>
  <c r="H50" i="20"/>
  <c r="H44" i="20"/>
  <c r="I44" i="20"/>
  <c r="H52" i="20"/>
  <c r="I46" i="20"/>
  <c r="I51" i="20"/>
  <c r="I50" i="20"/>
  <c r="I45" i="20"/>
  <c r="H40" i="20"/>
  <c r="I47" i="20"/>
  <c r="I56" i="20"/>
  <c r="I43" i="20"/>
  <c r="H38" i="20"/>
  <c r="H45" i="21"/>
  <c r="H41" i="21"/>
  <c r="I44" i="21"/>
  <c r="I49" i="21"/>
  <c r="H44" i="21"/>
  <c r="H47" i="21"/>
  <c r="I47" i="21"/>
  <c r="H46" i="21"/>
  <c r="H48" i="21"/>
  <c r="I53" i="21"/>
  <c r="H54" i="21"/>
  <c r="H52" i="21"/>
  <c r="I45" i="21"/>
  <c r="H59" i="21"/>
  <c r="I52" i="21"/>
  <c r="H40" i="21"/>
  <c r="I42" i="21"/>
  <c r="I51" i="21"/>
  <c r="I58" i="21"/>
  <c r="I41" i="21"/>
  <c r="I50" i="21"/>
  <c r="H43" i="21"/>
  <c r="H42" i="21"/>
  <c r="I40" i="21"/>
  <c r="H51" i="21"/>
  <c r="H55" i="21"/>
  <c r="H53" i="21"/>
  <c r="H50" i="21"/>
  <c r="I55" i="21"/>
  <c r="I59" i="21"/>
  <c r="I54" i="21"/>
  <c r="H49" i="21"/>
  <c r="I43" i="21"/>
  <c r="I48" i="21"/>
  <c r="I46" i="21"/>
  <c r="N39" i="21"/>
  <c r="A38" i="21"/>
  <c r="A35" i="19"/>
  <c r="N36" i="19"/>
  <c r="O34" i="17"/>
  <c r="N33" i="17"/>
  <c r="A34" i="17"/>
  <c r="A32" i="30"/>
  <c r="H56" i="20" l="1"/>
  <c r="A35" i="20"/>
  <c r="N36" i="20"/>
  <c r="H58" i="21"/>
  <c r="A34" i="19"/>
  <c r="N35" i="19"/>
  <c r="N38" i="21"/>
  <c r="A37" i="21"/>
  <c r="N32" i="17"/>
  <c r="O33" i="17"/>
  <c r="A33" i="17"/>
  <c r="A33" i="30"/>
  <c r="C51" i="22"/>
  <c r="C57" i="22" s="1"/>
  <c r="C55" i="22" l="1"/>
  <c r="E57" i="22"/>
  <c r="D14" i="27" s="1"/>
  <c r="A34" i="20"/>
  <c r="N35" i="20"/>
  <c r="N34" i="19"/>
  <c r="A33" i="19"/>
  <c r="N37" i="21"/>
  <c r="A36" i="21"/>
  <c r="A32" i="17"/>
  <c r="N31" i="17"/>
  <c r="O32" i="17"/>
  <c r="A34" i="30"/>
  <c r="E51" i="22"/>
  <c r="A33" i="20" l="1"/>
  <c r="N34" i="20"/>
  <c r="N33" i="19"/>
  <c r="A32" i="19"/>
  <c r="G43" i="19"/>
  <c r="G36" i="19"/>
  <c r="F51" i="19"/>
  <c r="F39" i="19"/>
  <c r="F57" i="19"/>
  <c r="G52" i="19"/>
  <c r="F37" i="19"/>
  <c r="G53" i="19"/>
  <c r="G49" i="19"/>
  <c r="G56" i="19"/>
  <c r="C28" i="18" s="1"/>
  <c r="G41" i="19"/>
  <c r="G40" i="19"/>
  <c r="G57" i="19"/>
  <c r="F52" i="19"/>
  <c r="G47" i="19"/>
  <c r="F40" i="19"/>
  <c r="F53" i="19"/>
  <c r="F46" i="19"/>
  <c r="F48" i="19"/>
  <c r="G45" i="19"/>
  <c r="F34" i="19"/>
  <c r="G42" i="19"/>
  <c r="F38" i="19"/>
  <c r="G35" i="19"/>
  <c r="G46" i="19"/>
  <c r="F35" i="19"/>
  <c r="F36" i="19"/>
  <c r="F50" i="19"/>
  <c r="G39" i="19"/>
  <c r="F42" i="19"/>
  <c r="G44" i="19"/>
  <c r="F44" i="19"/>
  <c r="F45" i="19"/>
  <c r="F49" i="19"/>
  <c r="F56" i="19" s="1"/>
  <c r="G48" i="19"/>
  <c r="F47" i="19"/>
  <c r="F41" i="19"/>
  <c r="G51" i="19"/>
  <c r="G34" i="19"/>
  <c r="F43" i="19"/>
  <c r="G38" i="19"/>
  <c r="G37" i="19"/>
  <c r="G50" i="19"/>
  <c r="N36" i="21"/>
  <c r="A35" i="21"/>
  <c r="C60" i="22"/>
  <c r="E60" i="22" s="1"/>
  <c r="N30" i="17"/>
  <c r="O31" i="17"/>
  <c r="A31" i="17"/>
  <c r="A35" i="30"/>
  <c r="D18" i="27"/>
  <c r="E18" i="27" s="1"/>
  <c r="C23" i="1" s="1"/>
  <c r="D17" i="27"/>
  <c r="E17" i="27" s="1"/>
  <c r="C21" i="1" s="1"/>
  <c r="D20" i="27"/>
  <c r="E20" i="27" s="1"/>
  <c r="E55" i="22"/>
  <c r="D30" i="58"/>
  <c r="C25" i="1" l="1"/>
  <c r="C30" i="18"/>
  <c r="G45" i="20"/>
  <c r="F40" i="20"/>
  <c r="F39" i="20"/>
  <c r="G53" i="20"/>
  <c r="G56" i="20"/>
  <c r="D28" i="18" s="1"/>
  <c r="D30" i="18" s="1"/>
  <c r="G51" i="20"/>
  <c r="G46" i="20"/>
  <c r="G40" i="20"/>
  <c r="F43" i="20"/>
  <c r="G36" i="20"/>
  <c r="F49" i="20"/>
  <c r="G47" i="20"/>
  <c r="F45" i="20"/>
  <c r="G48" i="20"/>
  <c r="F52" i="20"/>
  <c r="F35" i="20"/>
  <c r="F42" i="20"/>
  <c r="F37" i="20"/>
  <c r="F41" i="20"/>
  <c r="G50" i="20"/>
  <c r="G57" i="20"/>
  <c r="G38" i="20"/>
  <c r="G49" i="20"/>
  <c r="F44" i="20"/>
  <c r="F51" i="20"/>
  <c r="F57" i="20"/>
  <c r="F34" i="20"/>
  <c r="G52" i="20"/>
  <c r="F53" i="20"/>
  <c r="G34" i="20"/>
  <c r="G41" i="20"/>
  <c r="G35" i="20"/>
  <c r="F48" i="20"/>
  <c r="F36" i="20"/>
  <c r="F38" i="20"/>
  <c r="F47" i="20"/>
  <c r="F50" i="20"/>
  <c r="G42" i="20"/>
  <c r="G37" i="20"/>
  <c r="F46" i="20"/>
  <c r="G39" i="20"/>
  <c r="G44" i="20"/>
  <c r="G43" i="20"/>
  <c r="N33" i="20"/>
  <c r="A32" i="20"/>
  <c r="A34" i="21"/>
  <c r="N35" i="21"/>
  <c r="F52" i="21"/>
  <c r="G36" i="21"/>
  <c r="G37" i="21"/>
  <c r="F36" i="21"/>
  <c r="F54" i="21"/>
  <c r="G51" i="21"/>
  <c r="F40" i="21"/>
  <c r="F59" i="21"/>
  <c r="G43" i="21"/>
  <c r="F47" i="21"/>
  <c r="F46" i="21"/>
  <c r="F44" i="21"/>
  <c r="F45" i="21"/>
  <c r="G44" i="21"/>
  <c r="F51" i="21"/>
  <c r="G46" i="21"/>
  <c r="F39" i="21"/>
  <c r="F50" i="21"/>
  <c r="F48" i="21"/>
  <c r="F55" i="21"/>
  <c r="G38" i="21"/>
  <c r="G52" i="21"/>
  <c r="G48" i="21"/>
  <c r="G58" i="21"/>
  <c r="E28" i="18" s="1"/>
  <c r="E30" i="18" s="1"/>
  <c r="F43" i="21"/>
  <c r="G42" i="21"/>
  <c r="F42" i="21"/>
  <c r="F37" i="21"/>
  <c r="G45" i="21"/>
  <c r="F38" i="21"/>
  <c r="G55" i="21"/>
  <c r="F41" i="21"/>
  <c r="G59" i="21"/>
  <c r="F53" i="21"/>
  <c r="G49" i="21"/>
  <c r="G50" i="21"/>
  <c r="G39" i="21"/>
  <c r="G53" i="21"/>
  <c r="G47" i="21"/>
  <c r="G41" i="21"/>
  <c r="G40" i="21"/>
  <c r="G54" i="21"/>
  <c r="F49" i="21"/>
  <c r="A31" i="19"/>
  <c r="N32" i="19"/>
  <c r="O30" i="17"/>
  <c r="A30" i="17"/>
  <c r="N29" i="17"/>
  <c r="A36" i="30"/>
  <c r="F56" i="20" l="1"/>
  <c r="F58" i="21"/>
  <c r="F28" i="18"/>
  <c r="F30" i="18" s="1"/>
  <c r="A31" i="20"/>
  <c r="N32" i="20"/>
  <c r="A30" i="19"/>
  <c r="N31" i="19"/>
  <c r="N34" i="21"/>
  <c r="A33" i="21"/>
  <c r="O29" i="17"/>
  <c r="N28" i="17"/>
  <c r="A29" i="17"/>
  <c r="A37" i="30"/>
  <c r="A30" i="20" l="1"/>
  <c r="N31" i="20"/>
  <c r="I19" i="15"/>
  <c r="N30" i="19"/>
  <c r="A29" i="19"/>
  <c r="N33" i="21"/>
  <c r="A32" i="21"/>
  <c r="A28" i="17"/>
  <c r="O28" i="17"/>
  <c r="N27" i="17"/>
  <c r="A38" i="30"/>
  <c r="N30" i="20" l="1"/>
  <c r="A29" i="20"/>
  <c r="N32" i="21"/>
  <c r="A31" i="21"/>
  <c r="F39" i="15"/>
  <c r="F30" i="15"/>
  <c r="F31" i="15"/>
  <c r="F32" i="15"/>
  <c r="F34" i="15"/>
  <c r="F35" i="15"/>
  <c r="F36" i="15"/>
  <c r="F38" i="15"/>
  <c r="F33" i="15"/>
  <c r="F37" i="15"/>
  <c r="A28" i="19"/>
  <c r="N29" i="19"/>
  <c r="N26" i="17"/>
  <c r="A27" i="17"/>
  <c r="O27" i="17"/>
  <c r="A39" i="30"/>
  <c r="N29" i="20" l="1"/>
  <c r="A28" i="20"/>
  <c r="A30" i="21"/>
  <c r="N31" i="21"/>
  <c r="A27" i="19"/>
  <c r="N28" i="19"/>
  <c r="A26" i="17"/>
  <c r="N25" i="17"/>
  <c r="O26" i="17"/>
  <c r="A40" i="30"/>
  <c r="N28" i="20" l="1"/>
  <c r="A27" i="20"/>
  <c r="A26" i="19"/>
  <c r="N27" i="19"/>
  <c r="A29" i="21"/>
  <c r="N30" i="21"/>
  <c r="A25" i="17"/>
  <c r="O25" i="17"/>
  <c r="N24" i="17"/>
  <c r="A41" i="30"/>
  <c r="A26" i="20" l="1"/>
  <c r="N27" i="20"/>
  <c r="A28" i="21"/>
  <c r="N29" i="21"/>
  <c r="N26" i="19"/>
  <c r="A25" i="19"/>
  <c r="A24" i="17"/>
  <c r="N23" i="17"/>
  <c r="O24" i="17"/>
  <c r="A42" i="30"/>
  <c r="A25" i="20" l="1"/>
  <c r="N26" i="20"/>
  <c r="A27" i="21"/>
  <c r="N28" i="21"/>
  <c r="A24" i="19"/>
  <c r="N25" i="19"/>
  <c r="A23" i="17"/>
  <c r="O23" i="17"/>
  <c r="N22" i="17"/>
  <c r="A43" i="30"/>
  <c r="N25" i="20" l="1"/>
  <c r="A24" i="20"/>
  <c r="A23" i="19"/>
  <c r="N24" i="19"/>
  <c r="A26" i="21"/>
  <c r="N27" i="21"/>
  <c r="N21" i="17"/>
  <c r="O22" i="17"/>
  <c r="A22" i="17"/>
  <c r="A44" i="30"/>
  <c r="N24" i="20" l="1"/>
  <c r="A23" i="20"/>
  <c r="N23" i="19"/>
  <c r="A22" i="19"/>
  <c r="N26" i="21"/>
  <c r="A25" i="21"/>
  <c r="A21" i="17"/>
  <c r="O21" i="17"/>
  <c r="N20" i="17"/>
  <c r="A45" i="30"/>
  <c r="A22" i="20" l="1"/>
  <c r="N23" i="20"/>
  <c r="N22" i="19"/>
  <c r="A21" i="19"/>
  <c r="N25" i="21"/>
  <c r="A24" i="21"/>
  <c r="N19" i="17"/>
  <c r="O20" i="17"/>
  <c r="A20" i="17"/>
  <c r="A46" i="30"/>
  <c r="A21" i="20" l="1"/>
  <c r="N22" i="20"/>
  <c r="A20" i="19"/>
  <c r="N21" i="19"/>
  <c r="A23" i="21"/>
  <c r="N24" i="21"/>
  <c r="N18" i="17"/>
  <c r="O19" i="17"/>
  <c r="A19" i="17"/>
  <c r="A20" i="20" l="1"/>
  <c r="N21" i="20"/>
  <c r="N23" i="21"/>
  <c r="A22" i="21"/>
  <c r="N20" i="19"/>
  <c r="A19" i="19"/>
  <c r="A18" i="17"/>
  <c r="N17" i="17"/>
  <c r="O18" i="17"/>
  <c r="A19" i="20" l="1"/>
  <c r="N20" i="20"/>
  <c r="N22" i="21"/>
  <c r="A21" i="21"/>
  <c r="N19" i="19"/>
  <c r="A18" i="19"/>
  <c r="A17" i="17"/>
  <c r="N16" i="17"/>
  <c r="O17" i="17"/>
  <c r="A18" i="20" l="1"/>
  <c r="N19" i="20"/>
  <c r="N18" i="19"/>
  <c r="A17" i="19"/>
  <c r="N21" i="21"/>
  <c r="A20" i="21"/>
  <c r="O16" i="17"/>
  <c r="N15" i="17"/>
  <c r="A16" i="17"/>
  <c r="A17" i="20" l="1"/>
  <c r="N18" i="20"/>
  <c r="N20" i="21"/>
  <c r="A19" i="21"/>
  <c r="N17" i="19"/>
  <c r="A16" i="19"/>
  <c r="N14" i="17"/>
  <c r="O15" i="17"/>
  <c r="A15" i="17"/>
  <c r="A16" i="20" l="1"/>
  <c r="N17" i="20"/>
  <c r="A15" i="19"/>
  <c r="N16" i="19"/>
  <c r="N19" i="21"/>
  <c r="A18" i="21"/>
  <c r="A14" i="17"/>
  <c r="O14" i="17"/>
  <c r="A15" i="20" l="1"/>
  <c r="N16" i="20"/>
  <c r="N18" i="21"/>
  <c r="A17" i="21"/>
  <c r="N15" i="19"/>
  <c r="A14" i="19"/>
  <c r="N14" i="19" s="1"/>
  <c r="N15" i="20" l="1"/>
  <c r="A14" i="20"/>
  <c r="N14" i="20" s="1"/>
  <c r="E14" i="19"/>
  <c r="D31" i="19"/>
  <c r="D50" i="19"/>
  <c r="D42" i="19"/>
  <c r="E52" i="19"/>
  <c r="E33" i="19"/>
  <c r="E18" i="19"/>
  <c r="E47" i="19"/>
  <c r="E23" i="19"/>
  <c r="E20" i="19"/>
  <c r="E35" i="19"/>
  <c r="D35" i="19"/>
  <c r="E17" i="19"/>
  <c r="D51" i="19"/>
  <c r="E24" i="19"/>
  <c r="E21" i="19"/>
  <c r="D30" i="19"/>
  <c r="E19" i="19"/>
  <c r="E32" i="19"/>
  <c r="D27" i="19"/>
  <c r="E25" i="19"/>
  <c r="E30" i="19"/>
  <c r="D57" i="19"/>
  <c r="D14" i="19"/>
  <c r="E46" i="19"/>
  <c r="E27" i="19"/>
  <c r="D17" i="19"/>
  <c r="E51" i="19"/>
  <c r="E41" i="19"/>
  <c r="D28" i="19"/>
  <c r="D22" i="19"/>
  <c r="D21" i="19"/>
  <c r="D23" i="19"/>
  <c r="D49" i="19"/>
  <c r="D39" i="19"/>
  <c r="D53" i="19"/>
  <c r="D48" i="19"/>
  <c r="D44" i="19"/>
  <c r="D29" i="19"/>
  <c r="E29" i="19"/>
  <c r="E16" i="19"/>
  <c r="D41" i="19"/>
  <c r="D52" i="19"/>
  <c r="D45" i="19"/>
  <c r="E28" i="19"/>
  <c r="E45" i="19"/>
  <c r="E34" i="19"/>
  <c r="D16" i="19"/>
  <c r="D38" i="19"/>
  <c r="D25" i="19"/>
  <c r="E31" i="19"/>
  <c r="E15" i="19"/>
  <c r="E22" i="19"/>
  <c r="D19" i="19"/>
  <c r="D15" i="19"/>
  <c r="E53" i="19"/>
  <c r="D26" i="19"/>
  <c r="E49" i="19"/>
  <c r="E37" i="19"/>
  <c r="D24" i="19"/>
  <c r="D43" i="19"/>
  <c r="D18" i="19"/>
  <c r="E38" i="19"/>
  <c r="D34" i="19"/>
  <c r="D20" i="19"/>
  <c r="D33" i="19"/>
  <c r="E50" i="19"/>
  <c r="E36" i="19"/>
  <c r="D36" i="19"/>
  <c r="E43" i="19"/>
  <c r="E40" i="19"/>
  <c r="D32" i="19"/>
  <c r="D47" i="19"/>
  <c r="E57" i="19"/>
  <c r="D37" i="19"/>
  <c r="E26" i="19"/>
  <c r="E48" i="19"/>
  <c r="D46" i="19"/>
  <c r="E42" i="19"/>
  <c r="D40" i="19"/>
  <c r="E56" i="19"/>
  <c r="E44" i="19"/>
  <c r="E39" i="19"/>
  <c r="N17" i="21"/>
  <c r="A16" i="21"/>
  <c r="D17" i="20" l="1"/>
  <c r="E14" i="20"/>
  <c r="D18" i="20"/>
  <c r="D21" i="20"/>
  <c r="E33" i="20"/>
  <c r="D33" i="20"/>
  <c r="E18" i="20"/>
  <c r="D48" i="20"/>
  <c r="E43" i="20"/>
  <c r="D19" i="20"/>
  <c r="D45" i="20"/>
  <c r="D14" i="20"/>
  <c r="D42" i="20"/>
  <c r="D36" i="20"/>
  <c r="D47" i="20"/>
  <c r="D23" i="20"/>
  <c r="D39" i="20"/>
  <c r="E52" i="20"/>
  <c r="E28" i="20"/>
  <c r="D50" i="20"/>
  <c r="E20" i="20"/>
  <c r="D20" i="20"/>
  <c r="E42" i="20"/>
  <c r="D22" i="20"/>
  <c r="E44" i="20"/>
  <c r="D46" i="20"/>
  <c r="D27" i="20"/>
  <c r="E48" i="20"/>
  <c r="D49" i="20"/>
  <c r="E23" i="20"/>
  <c r="D37" i="20"/>
  <c r="E19" i="20"/>
  <c r="D44" i="20"/>
  <c r="D51" i="20"/>
  <c r="E30" i="20"/>
  <c r="E35" i="20"/>
  <c r="E16" i="20"/>
  <c r="E39" i="20"/>
  <c r="D30" i="20"/>
  <c r="D34" i="20"/>
  <c r="E46" i="20"/>
  <c r="D29" i="20"/>
  <c r="D38" i="20"/>
  <c r="E29" i="20"/>
  <c r="E56" i="20"/>
  <c r="E57" i="20"/>
  <c r="E24" i="20"/>
  <c r="E36" i="20"/>
  <c r="D26" i="20"/>
  <c r="D41" i="20"/>
  <c r="D28" i="20"/>
  <c r="E21" i="20"/>
  <c r="E53" i="20"/>
  <c r="E27" i="20"/>
  <c r="E25" i="20"/>
  <c r="E34" i="20"/>
  <c r="D43" i="20"/>
  <c r="D40" i="20"/>
  <c r="D32" i="20"/>
  <c r="E49" i="20"/>
  <c r="E37" i="20"/>
  <c r="E15" i="20"/>
  <c r="D15" i="20"/>
  <c r="D57" i="20"/>
  <c r="E47" i="20"/>
  <c r="E40" i="20"/>
  <c r="D52" i="20"/>
  <c r="D53" i="20"/>
  <c r="D56" i="20" s="1"/>
  <c r="E31" i="20"/>
  <c r="E22" i="20"/>
  <c r="E17" i="20"/>
  <c r="E32" i="20"/>
  <c r="E26" i="20"/>
  <c r="E45" i="20"/>
  <c r="D24" i="20"/>
  <c r="E38" i="20"/>
  <c r="E51" i="20"/>
  <c r="E50" i="20"/>
  <c r="E41" i="20"/>
  <c r="D35" i="20"/>
  <c r="D16" i="20"/>
  <c r="D25" i="20"/>
  <c r="D31" i="20"/>
  <c r="D56" i="19"/>
  <c r="A15" i="21"/>
  <c r="N16" i="21"/>
  <c r="N15" i="21" l="1"/>
  <c r="A14" i="21"/>
  <c r="N14" i="21" s="1"/>
  <c r="E42" i="21" l="1"/>
  <c r="D27" i="21"/>
  <c r="E26" i="21"/>
  <c r="E38" i="21"/>
  <c r="E58" i="21"/>
  <c r="D20" i="21"/>
  <c r="E55" i="21"/>
  <c r="E17" i="21"/>
  <c r="D18" i="21"/>
  <c r="D28" i="21"/>
  <c r="D54" i="21"/>
  <c r="D29" i="21"/>
  <c r="E33" i="21"/>
  <c r="E54" i="21"/>
  <c r="D39" i="21"/>
  <c r="E47" i="21"/>
  <c r="E16" i="21"/>
  <c r="D41" i="21"/>
  <c r="D22" i="21"/>
  <c r="D49" i="21"/>
  <c r="E34" i="21"/>
  <c r="D23" i="21"/>
  <c r="E14" i="21"/>
  <c r="D45" i="21"/>
  <c r="D19" i="21"/>
  <c r="D50" i="21"/>
  <c r="D37" i="21"/>
  <c r="D25" i="21"/>
  <c r="E35" i="21"/>
  <c r="E45" i="21"/>
  <c r="D44" i="21"/>
  <c r="E51" i="21"/>
  <c r="D36" i="21"/>
  <c r="D43" i="21"/>
  <c r="D40" i="21"/>
  <c r="E18" i="21"/>
  <c r="D21" i="21"/>
  <c r="E40" i="21"/>
  <c r="D14" i="21"/>
  <c r="D32" i="21"/>
  <c r="E41" i="21"/>
  <c r="D53" i="21"/>
  <c r="E20" i="21"/>
  <c r="D42" i="21"/>
  <c r="E53" i="21"/>
  <c r="D46" i="21"/>
  <c r="E30" i="21"/>
  <c r="D26" i="21"/>
  <c r="E49" i="21"/>
  <c r="D15" i="21"/>
  <c r="D30" i="21"/>
  <c r="E22" i="21"/>
  <c r="E25" i="21"/>
  <c r="E50" i="21"/>
  <c r="E29" i="21"/>
  <c r="E52" i="21"/>
  <c r="E36" i="21"/>
  <c r="E44" i="21"/>
  <c r="D47" i="21"/>
  <c r="D31" i="21"/>
  <c r="D48" i="21"/>
  <c r="E31" i="21"/>
  <c r="D33" i="21"/>
  <c r="E24" i="21"/>
  <c r="D17" i="21"/>
  <c r="E48" i="21"/>
  <c r="E46" i="21"/>
  <c r="E32" i="21"/>
  <c r="D34" i="21"/>
  <c r="E15" i="21"/>
  <c r="E43" i="21"/>
  <c r="D52" i="21"/>
  <c r="D38" i="21"/>
  <c r="D35" i="21"/>
  <c r="E28" i="21"/>
  <c r="E37" i="21"/>
  <c r="E39" i="21"/>
  <c r="D16" i="21"/>
  <c r="E27" i="21"/>
  <c r="E59" i="21"/>
  <c r="E23" i="21"/>
  <c r="D51" i="21"/>
  <c r="E21" i="21"/>
  <c r="D24" i="21"/>
  <c r="E19" i="21"/>
  <c r="D59" i="21"/>
  <c r="D58" i="21" l="1"/>
  <c r="C16" i="2" l="1"/>
  <c r="E58" i="30" l="1"/>
  <c r="C19" i="2"/>
  <c r="E45" i="17"/>
  <c r="F45" i="17" s="1"/>
  <c r="E41" i="17"/>
  <c r="F41" i="17" s="1"/>
  <c r="E37" i="17"/>
  <c r="F37" i="17" s="1"/>
  <c r="E33" i="17"/>
  <c r="F33" i="17" s="1"/>
  <c r="E29" i="17"/>
  <c r="F29" i="17" s="1"/>
  <c r="E25" i="17"/>
  <c r="F25" i="17" s="1"/>
  <c r="E21" i="17"/>
  <c r="F21" i="17" s="1"/>
  <c r="E17" i="17"/>
  <c r="F17" i="17" s="1"/>
  <c r="E14" i="17"/>
  <c r="F14" i="17" s="1"/>
  <c r="G14" i="17" s="1"/>
  <c r="D16" i="2" l="1"/>
  <c r="D17" i="2"/>
  <c r="D14" i="2"/>
  <c r="D15" i="2"/>
  <c r="G58" i="30"/>
  <c r="E59" i="30" s="1"/>
  <c r="E24" i="48"/>
  <c r="G24" i="48" s="1"/>
  <c r="E26" i="48"/>
  <c r="G26" i="48" s="1"/>
  <c r="C14" i="45"/>
  <c r="C15" i="45"/>
  <c r="G21" i="17"/>
  <c r="G25" i="17"/>
  <c r="G41" i="17"/>
  <c r="G33" i="17"/>
  <c r="G29" i="17"/>
  <c r="G45" i="17"/>
  <c r="G17" i="17"/>
  <c r="G37" i="17"/>
  <c r="D19" i="2" l="1"/>
  <c r="F59" i="30"/>
  <c r="C59" i="30"/>
  <c r="D59" i="30"/>
  <c r="E28" i="48"/>
  <c r="G28" i="48" s="1"/>
  <c r="E23" i="48"/>
  <c r="E25" i="48"/>
  <c r="G25" i="48" s="1"/>
  <c r="C17" i="45"/>
  <c r="E42" i="17"/>
  <c r="F42" i="17" s="1"/>
  <c r="E46" i="17"/>
  <c r="F46" i="17" s="1"/>
  <c r="G59" i="30" l="1"/>
  <c r="G32" i="30" s="1"/>
  <c r="H32" i="30" s="1"/>
  <c r="G48" i="29" s="1"/>
  <c r="G18" i="30"/>
  <c r="H18" i="30" s="1"/>
  <c r="G34" i="29" s="1"/>
  <c r="G23" i="48"/>
  <c r="D34" i="34"/>
  <c r="E34" i="34" s="1"/>
  <c r="E34" i="32"/>
  <c r="E34" i="31"/>
  <c r="D34" i="33"/>
  <c r="E34" i="33" s="1"/>
  <c r="E27" i="48"/>
  <c r="G27" i="48" s="1"/>
  <c r="C16" i="45"/>
  <c r="C19" i="45"/>
  <c r="C20" i="45"/>
  <c r="G46" i="17"/>
  <c r="E31" i="17"/>
  <c r="F31" i="17" s="1"/>
  <c r="E30" i="17"/>
  <c r="F30" i="17" s="1"/>
  <c r="G42" i="17"/>
  <c r="E26" i="17"/>
  <c r="F26" i="17" s="1"/>
  <c r="E39" i="17"/>
  <c r="F39" i="17" s="1"/>
  <c r="E38" i="17"/>
  <c r="F38" i="17" s="1"/>
  <c r="E22" i="17"/>
  <c r="F22" i="17" s="1"/>
  <c r="E34" i="17"/>
  <c r="F34" i="17" s="1"/>
  <c r="E43" i="17"/>
  <c r="F43" i="17" s="1"/>
  <c r="G27" i="30" l="1"/>
  <c r="H27" i="30" s="1"/>
  <c r="G43" i="29" s="1"/>
  <c r="G21" i="30"/>
  <c r="H21" i="30" s="1"/>
  <c r="G37" i="29" s="1"/>
  <c r="G24" i="30"/>
  <c r="H24" i="30" s="1"/>
  <c r="G40" i="29" s="1"/>
  <c r="G16" i="30"/>
  <c r="H16" i="30" s="1"/>
  <c r="G32" i="29" s="1"/>
  <c r="G17" i="30"/>
  <c r="H17" i="30" s="1"/>
  <c r="G33" i="30"/>
  <c r="H33" i="30" s="1"/>
  <c r="G49" i="29" s="1"/>
  <c r="G15" i="30"/>
  <c r="H15" i="30" s="1"/>
  <c r="G31" i="29" s="1"/>
  <c r="G26" i="30"/>
  <c r="H26" i="30" s="1"/>
  <c r="G42" i="29" s="1"/>
  <c r="G30" i="30"/>
  <c r="H30" i="30" s="1"/>
  <c r="G46" i="29" s="1"/>
  <c r="E20" i="28" s="1"/>
  <c r="G14" i="30"/>
  <c r="H14" i="30" s="1"/>
  <c r="G30" i="29" s="1"/>
  <c r="G23" i="30"/>
  <c r="H23" i="30" s="1"/>
  <c r="G39" i="29" s="1"/>
  <c r="G20" i="30"/>
  <c r="H20" i="30" s="1"/>
  <c r="G36" i="29" s="1"/>
  <c r="E19" i="28" s="1"/>
  <c r="G28" i="30"/>
  <c r="H28" i="30" s="1"/>
  <c r="G44" i="29" s="1"/>
  <c r="G25" i="30"/>
  <c r="H25" i="30" s="1"/>
  <c r="G41" i="29" s="1"/>
  <c r="G31" i="30"/>
  <c r="H31" i="30" s="1"/>
  <c r="G47" i="29" s="1"/>
  <c r="G29" i="30"/>
  <c r="H29" i="30" s="1"/>
  <c r="G45" i="29" s="1"/>
  <c r="G22" i="30"/>
  <c r="H22" i="30" s="1"/>
  <c r="G38" i="29" s="1"/>
  <c r="G19" i="30"/>
  <c r="H19" i="30" s="1"/>
  <c r="G35" i="29" s="1"/>
  <c r="E17" i="28"/>
  <c r="G33" i="29"/>
  <c r="E18" i="28" s="1"/>
  <c r="D35" i="33"/>
  <c r="E35" i="33" s="1"/>
  <c r="G35" i="33" s="1"/>
  <c r="E35" i="30" s="1"/>
  <c r="E35" i="31"/>
  <c r="D35" i="34"/>
  <c r="E35" i="34" s="1"/>
  <c r="G35" i="34" s="1"/>
  <c r="F35" i="30" s="1"/>
  <c r="E35" i="32"/>
  <c r="G35" i="32" s="1"/>
  <c r="D35" i="30" s="1"/>
  <c r="G34" i="32"/>
  <c r="D34" i="30" s="1"/>
  <c r="G34" i="34"/>
  <c r="F34" i="30" s="1"/>
  <c r="D36" i="33"/>
  <c r="E36" i="33" s="1"/>
  <c r="G36" i="33" s="1"/>
  <c r="E36" i="30" s="1"/>
  <c r="E36" i="32"/>
  <c r="G36" i="32" s="1"/>
  <c r="D36" i="30" s="1"/>
  <c r="E36" i="31"/>
  <c r="D36" i="34"/>
  <c r="E36" i="34" s="1"/>
  <c r="G36" i="34" s="1"/>
  <c r="F36" i="30" s="1"/>
  <c r="G34" i="33"/>
  <c r="E34" i="30" s="1"/>
  <c r="C18" i="45"/>
  <c r="G34" i="31"/>
  <c r="C34" i="30" s="1"/>
  <c r="E50" i="29"/>
  <c r="C21" i="28" s="1"/>
  <c r="E47" i="17"/>
  <c r="F47" i="17" s="1"/>
  <c r="G34" i="17"/>
  <c r="G38" i="17"/>
  <c r="G31" i="17"/>
  <c r="C17" i="15" s="1"/>
  <c r="C34" i="15" s="1"/>
  <c r="E35" i="17"/>
  <c r="F35" i="17" s="1"/>
  <c r="E40" i="17"/>
  <c r="F40" i="17" s="1"/>
  <c r="G39" i="17"/>
  <c r="C19" i="15" s="1"/>
  <c r="C36" i="15" s="1"/>
  <c r="E36" i="17"/>
  <c r="F36" i="17" s="1"/>
  <c r="E15" i="17"/>
  <c r="F15" i="17" s="1"/>
  <c r="G22" i="17"/>
  <c r="G26" i="17"/>
  <c r="G43" i="17"/>
  <c r="C20" i="15" s="1"/>
  <c r="C37" i="15" s="1"/>
  <c r="E16" i="17"/>
  <c r="F16" i="17" s="1"/>
  <c r="E32" i="17"/>
  <c r="F32" i="17" s="1"/>
  <c r="H33" i="17" s="1"/>
  <c r="E23" i="17"/>
  <c r="F23" i="17" s="1"/>
  <c r="E27" i="17"/>
  <c r="F27" i="17" s="1"/>
  <c r="G30" i="17"/>
  <c r="E18" i="17"/>
  <c r="F18" i="17" s="1"/>
  <c r="C21" i="45" l="1"/>
  <c r="G34" i="30"/>
  <c r="E15" i="45"/>
  <c r="D15" i="45" s="1"/>
  <c r="E29" i="48"/>
  <c r="E38" i="31"/>
  <c r="D38" i="34"/>
  <c r="E38" i="34" s="1"/>
  <c r="G38" i="34" s="1"/>
  <c r="F38" i="30" s="1"/>
  <c r="E38" i="32"/>
  <c r="G38" i="32" s="1"/>
  <c r="D38" i="30" s="1"/>
  <c r="D38" i="33"/>
  <c r="E38" i="33" s="1"/>
  <c r="G38" i="33" s="1"/>
  <c r="E38" i="30" s="1"/>
  <c r="G36" i="31"/>
  <c r="C36" i="30" s="1"/>
  <c r="G36" i="30" s="1"/>
  <c r="H36" i="30" s="1"/>
  <c r="G52" i="29" s="1"/>
  <c r="E22" i="28" s="1"/>
  <c r="E52" i="29"/>
  <c r="C22" i="28" s="1"/>
  <c r="D37" i="34"/>
  <c r="E37" i="34" s="1"/>
  <c r="G37" i="34" s="1"/>
  <c r="F37" i="30" s="1"/>
  <c r="D37" i="33"/>
  <c r="E37" i="33" s="1"/>
  <c r="E37" i="31"/>
  <c r="E37" i="32"/>
  <c r="G37" i="32" s="1"/>
  <c r="D37" i="30" s="1"/>
  <c r="E30" i="48"/>
  <c r="G30" i="48" s="1"/>
  <c r="G35" i="31"/>
  <c r="C35" i="30" s="1"/>
  <c r="G35" i="30" s="1"/>
  <c r="H35" i="30" s="1"/>
  <c r="G51" i="29" s="1"/>
  <c r="E51" i="29"/>
  <c r="E14" i="45"/>
  <c r="H37" i="17"/>
  <c r="G18" i="17"/>
  <c r="G23" i="17"/>
  <c r="C15" i="15" s="1"/>
  <c r="C32" i="15" s="1"/>
  <c r="G16" i="17"/>
  <c r="H36" i="17"/>
  <c r="E48" i="17"/>
  <c r="F48" i="17" s="1"/>
  <c r="H50" i="17" s="1"/>
  <c r="E24" i="17"/>
  <c r="F24" i="17" s="1"/>
  <c r="H26" i="17" s="1"/>
  <c r="G36" i="17"/>
  <c r="H39" i="17"/>
  <c r="G40" i="17"/>
  <c r="H43" i="17"/>
  <c r="H40" i="17"/>
  <c r="G27" i="17"/>
  <c r="C16" i="15" s="1"/>
  <c r="C33" i="15" s="1"/>
  <c r="G32" i="17"/>
  <c r="H35" i="17"/>
  <c r="H18" i="17"/>
  <c r="G15" i="17"/>
  <c r="H17" i="17"/>
  <c r="H41" i="17"/>
  <c r="E44" i="17"/>
  <c r="F44" i="17" s="1"/>
  <c r="H47" i="17" s="1"/>
  <c r="H32" i="17"/>
  <c r="E28" i="17"/>
  <c r="F28" i="17" s="1"/>
  <c r="H29" i="17" s="1"/>
  <c r="H42" i="17"/>
  <c r="G35" i="17"/>
  <c r="C18" i="15" s="1"/>
  <c r="C35" i="15" s="1"/>
  <c r="H38" i="17"/>
  <c r="H34" i="17"/>
  <c r="G47" i="17"/>
  <c r="C21" i="15" s="1"/>
  <c r="C38" i="15" s="1"/>
  <c r="E19" i="17"/>
  <c r="F19" i="17" s="1"/>
  <c r="H28" i="17" l="1"/>
  <c r="H25" i="17"/>
  <c r="H48" i="17"/>
  <c r="H49" i="17"/>
  <c r="D40" i="34"/>
  <c r="E40" i="34" s="1"/>
  <c r="G40" i="34" s="1"/>
  <c r="F40" i="30" s="1"/>
  <c r="E40" i="32"/>
  <c r="G40" i="32" s="1"/>
  <c r="D40" i="30" s="1"/>
  <c r="E40" i="31"/>
  <c r="D40" i="33"/>
  <c r="E40" i="33" s="1"/>
  <c r="G40" i="33" s="1"/>
  <c r="E40" i="30" s="1"/>
  <c r="G37" i="31"/>
  <c r="C37" i="30" s="1"/>
  <c r="E53" i="29"/>
  <c r="D14" i="45"/>
  <c r="G37" i="33"/>
  <c r="E37" i="30" s="1"/>
  <c r="D14" i="44"/>
  <c r="E14" i="44" s="1"/>
  <c r="D14" i="43"/>
  <c r="E14" i="43" s="1"/>
  <c r="D14" i="41"/>
  <c r="E14" i="41" s="1"/>
  <c r="D14" i="42"/>
  <c r="E14" i="42" s="1"/>
  <c r="C22" i="45"/>
  <c r="E31" i="48"/>
  <c r="G31" i="48" s="1"/>
  <c r="G29" i="48"/>
  <c r="E16" i="45"/>
  <c r="D16" i="45" s="1"/>
  <c r="E32" i="48"/>
  <c r="G32" i="48" s="1"/>
  <c r="E39" i="32"/>
  <c r="G39" i="32" s="1"/>
  <c r="D39" i="30" s="1"/>
  <c r="D39" i="33"/>
  <c r="E39" i="33" s="1"/>
  <c r="G39" i="33" s="1"/>
  <c r="E39" i="30" s="1"/>
  <c r="E39" i="31"/>
  <c r="D39" i="34"/>
  <c r="E39" i="34" s="1"/>
  <c r="G39" i="34" s="1"/>
  <c r="F39" i="30" s="1"/>
  <c r="H34" i="30"/>
  <c r="G38" i="31"/>
  <c r="C38" i="30" s="1"/>
  <c r="G38" i="30" s="1"/>
  <c r="H38" i="30" s="1"/>
  <c r="G54" i="29" s="1"/>
  <c r="E23" i="28" s="1"/>
  <c r="E54" i="29"/>
  <c r="C23" i="28" s="1"/>
  <c r="H30" i="17"/>
  <c r="G19" i="17"/>
  <c r="C14" i="15" s="1"/>
  <c r="C31" i="15" s="1"/>
  <c r="C30" i="15" s="1"/>
  <c r="H24" i="17"/>
  <c r="G44" i="17"/>
  <c r="H45" i="17"/>
  <c r="H46" i="17"/>
  <c r="H44" i="17"/>
  <c r="J45" i="17" s="1"/>
  <c r="H19" i="17"/>
  <c r="H27" i="17"/>
  <c r="G24" i="17"/>
  <c r="G28" i="17"/>
  <c r="H31" i="17"/>
  <c r="H51" i="17"/>
  <c r="G48" i="17"/>
  <c r="L45" i="17" l="1"/>
  <c r="K45" i="17"/>
  <c r="J35" i="17"/>
  <c r="L46" i="17"/>
  <c r="J40" i="17"/>
  <c r="L56" i="17"/>
  <c r="K51" i="17"/>
  <c r="K56" i="17"/>
  <c r="E18" i="45"/>
  <c r="D18" i="45" s="1"/>
  <c r="G50" i="29"/>
  <c r="D41" i="34"/>
  <c r="E41" i="34" s="1"/>
  <c r="G41" i="34" s="1"/>
  <c r="F41" i="30" s="1"/>
  <c r="E41" i="32"/>
  <c r="G41" i="32" s="1"/>
  <c r="D41" i="30" s="1"/>
  <c r="E41" i="31"/>
  <c r="D41" i="33"/>
  <c r="E41" i="33" s="1"/>
  <c r="G41" i="33" s="1"/>
  <c r="E41" i="30" s="1"/>
  <c r="G40" i="31"/>
  <c r="C40" i="30" s="1"/>
  <c r="G40" i="30" s="1"/>
  <c r="H40" i="30" s="1"/>
  <c r="G56" i="29" s="1"/>
  <c r="E56" i="29"/>
  <c r="E17" i="45"/>
  <c r="D17" i="45" s="1"/>
  <c r="G39" i="31"/>
  <c r="C39" i="30" s="1"/>
  <c r="G39" i="30" s="1"/>
  <c r="H39" i="30" s="1"/>
  <c r="G55" i="29" s="1"/>
  <c r="E24" i="28" s="1"/>
  <c r="E55" i="29"/>
  <c r="C24" i="28" s="1"/>
  <c r="D15" i="43"/>
  <c r="E15" i="43" s="1"/>
  <c r="G14" i="5" s="1"/>
  <c r="D15" i="44"/>
  <c r="E15" i="44" s="1"/>
  <c r="G14" i="6" s="1"/>
  <c r="D15" i="41"/>
  <c r="E15" i="41" s="1"/>
  <c r="G14" i="3" s="1"/>
  <c r="D15" i="42"/>
  <c r="E15" i="42" s="1"/>
  <c r="G14" i="4" s="1"/>
  <c r="C23" i="45"/>
  <c r="G37" i="30"/>
  <c r="K46" i="17"/>
  <c r="L48" i="17"/>
  <c r="J39" i="17"/>
  <c r="J56" i="17"/>
  <c r="K38" i="17"/>
  <c r="L47" i="17"/>
  <c r="J37" i="17"/>
  <c r="J43" i="17"/>
  <c r="J46" i="17"/>
  <c r="L51" i="17"/>
  <c r="K44" i="17"/>
  <c r="K43" i="17"/>
  <c r="J34" i="17"/>
  <c r="E20" i="17"/>
  <c r="F20" i="17" s="1"/>
  <c r="K49" i="17"/>
  <c r="J38" i="17"/>
  <c r="L44" i="17"/>
  <c r="L50" i="17"/>
  <c r="K39" i="17"/>
  <c r="J50" i="17"/>
  <c r="K42" i="17"/>
  <c r="J42" i="17"/>
  <c r="J49" i="17"/>
  <c r="J48" i="17"/>
  <c r="J33" i="17"/>
  <c r="J41" i="17"/>
  <c r="K52" i="17"/>
  <c r="J36" i="17"/>
  <c r="K48" i="17"/>
  <c r="J51" i="17"/>
  <c r="K37" i="17"/>
  <c r="L41" i="17"/>
  <c r="L49" i="17"/>
  <c r="K50" i="17"/>
  <c r="J47" i="17"/>
  <c r="K41" i="17"/>
  <c r="L42" i="17"/>
  <c r="L43" i="17"/>
  <c r="L52" i="17"/>
  <c r="K47" i="17"/>
  <c r="J44" i="17"/>
  <c r="K40" i="17"/>
  <c r="J52" i="17"/>
  <c r="E33" i="48" l="1"/>
  <c r="D16" i="42"/>
  <c r="E16" i="42" s="1"/>
  <c r="G15" i="4" s="1"/>
  <c r="D16" i="44"/>
  <c r="E16" i="44" s="1"/>
  <c r="D16" i="41"/>
  <c r="E16" i="41" s="1"/>
  <c r="G15" i="3" s="1"/>
  <c r="D16" i="43"/>
  <c r="E16" i="43" s="1"/>
  <c r="G15" i="5" s="1"/>
  <c r="H37" i="30"/>
  <c r="E21" i="28"/>
  <c r="E19" i="45"/>
  <c r="D19" i="45" s="1"/>
  <c r="C24" i="45"/>
  <c r="C25" i="45"/>
  <c r="D43" i="34"/>
  <c r="E43" i="34" s="1"/>
  <c r="G43" i="34" s="1"/>
  <c r="F43" i="30" s="1"/>
  <c r="D43" i="33"/>
  <c r="E43" i="33" s="1"/>
  <c r="G43" i="33" s="1"/>
  <c r="E43" i="30" s="1"/>
  <c r="E43" i="32"/>
  <c r="G43" i="32" s="1"/>
  <c r="D43" i="30" s="1"/>
  <c r="E43" i="31"/>
  <c r="E42" i="32"/>
  <c r="G42" i="32" s="1"/>
  <c r="D42" i="30" s="1"/>
  <c r="D42" i="33"/>
  <c r="E42" i="33" s="1"/>
  <c r="E42" i="31"/>
  <c r="D42" i="34"/>
  <c r="E42" i="34" s="1"/>
  <c r="G41" i="31"/>
  <c r="C41" i="30" s="1"/>
  <c r="G41" i="30" s="1"/>
  <c r="H41" i="30" s="1"/>
  <c r="G57" i="29" s="1"/>
  <c r="E57" i="29"/>
  <c r="D17" i="43"/>
  <c r="E17" i="43" s="1"/>
  <c r="G16" i="5" s="1"/>
  <c r="D17" i="42"/>
  <c r="E17" i="42" s="1"/>
  <c r="G16" i="4" s="1"/>
  <c r="D17" i="41"/>
  <c r="E17" i="41" s="1"/>
  <c r="G16" i="3" s="1"/>
  <c r="D17" i="44"/>
  <c r="E17" i="44" s="1"/>
  <c r="G16" i="6" s="1"/>
  <c r="J55" i="17"/>
  <c r="L55" i="17"/>
  <c r="K55" i="17"/>
  <c r="G20" i="17"/>
  <c r="H23" i="17"/>
  <c r="H22" i="17"/>
  <c r="H21" i="17"/>
  <c r="H20" i="17"/>
  <c r="I28" i="17" l="1"/>
  <c r="L58" i="17"/>
  <c r="C27" i="45"/>
  <c r="I18" i="15"/>
  <c r="G42" i="31"/>
  <c r="C42" i="30" s="1"/>
  <c r="E58" i="29"/>
  <c r="E34" i="48"/>
  <c r="G34" i="48" s="1"/>
  <c r="E20" i="45"/>
  <c r="D44" i="34"/>
  <c r="E44" i="34" s="1"/>
  <c r="G44" i="34" s="1"/>
  <c r="F44" i="30" s="1"/>
  <c r="D44" i="33"/>
  <c r="E44" i="33" s="1"/>
  <c r="G44" i="33" s="1"/>
  <c r="E44" i="30" s="1"/>
  <c r="E44" i="31"/>
  <c r="E44" i="32"/>
  <c r="G44" i="32" s="1"/>
  <c r="D44" i="30" s="1"/>
  <c r="G53" i="29"/>
  <c r="G42" i="33"/>
  <c r="E42" i="30" s="1"/>
  <c r="D18" i="44"/>
  <c r="E18" i="44" s="1"/>
  <c r="G17" i="6" s="1"/>
  <c r="D18" i="43"/>
  <c r="E18" i="43" s="1"/>
  <c r="G17" i="5" s="1"/>
  <c r="D18" i="41"/>
  <c r="E18" i="41" s="1"/>
  <c r="G17" i="3" s="1"/>
  <c r="D18" i="42"/>
  <c r="E18" i="42" s="1"/>
  <c r="G42" i="34"/>
  <c r="F42" i="30" s="1"/>
  <c r="G43" i="31"/>
  <c r="C43" i="30" s="1"/>
  <c r="G43" i="30" s="1"/>
  <c r="H43" i="30" s="1"/>
  <c r="G59" i="29" s="1"/>
  <c r="E59" i="29"/>
  <c r="G15" i="6"/>
  <c r="G33" i="48"/>
  <c r="I56" i="17"/>
  <c r="I29" i="17"/>
  <c r="I42" i="17"/>
  <c r="I43" i="17"/>
  <c r="I30" i="17"/>
  <c r="I36" i="17"/>
  <c r="I17" i="17"/>
  <c r="I24" i="17"/>
  <c r="I41" i="17"/>
  <c r="I27" i="17"/>
  <c r="I37" i="17"/>
  <c r="I26" i="17"/>
  <c r="I19" i="17"/>
  <c r="I49" i="17"/>
  <c r="I40" i="17"/>
  <c r="I33" i="17"/>
  <c r="I50" i="17"/>
  <c r="I48" i="17"/>
  <c r="I46" i="17"/>
  <c r="I38" i="17"/>
  <c r="I20" i="17"/>
  <c r="I31" i="17"/>
  <c r="I34" i="17"/>
  <c r="I32" i="17"/>
  <c r="I18" i="17"/>
  <c r="I35" i="17"/>
  <c r="I25" i="17"/>
  <c r="I51" i="17"/>
  <c r="I21" i="17"/>
  <c r="I39" i="17"/>
  <c r="I52" i="17"/>
  <c r="I45" i="17"/>
  <c r="I22" i="17"/>
  <c r="I47" i="17"/>
  <c r="I44" i="17"/>
  <c r="I23" i="17"/>
  <c r="E39" i="15" l="1"/>
  <c r="G39" i="15" s="1"/>
  <c r="E23" i="3" s="1"/>
  <c r="E23" i="4" s="1"/>
  <c r="F23" i="4" s="1"/>
  <c r="E35" i="15"/>
  <c r="G35" i="15" s="1"/>
  <c r="E19" i="3" s="1"/>
  <c r="E36" i="15"/>
  <c r="G36" i="15" s="1"/>
  <c r="E20" i="3" s="1"/>
  <c r="E20" i="5" s="1"/>
  <c r="F20" i="5" s="1"/>
  <c r="E38" i="15"/>
  <c r="G38" i="15" s="1"/>
  <c r="E22" i="3" s="1"/>
  <c r="F22" i="3" s="1"/>
  <c r="E32" i="15"/>
  <c r="G32" i="15" s="1"/>
  <c r="E16" i="3" s="1"/>
  <c r="F16" i="3" s="1"/>
  <c r="H16" i="3" s="1"/>
  <c r="E33" i="15"/>
  <c r="G33" i="15" s="1"/>
  <c r="E17" i="3" s="1"/>
  <c r="F17" i="3" s="1"/>
  <c r="H17" i="3" s="1"/>
  <c r="E31" i="15"/>
  <c r="G31" i="15" s="1"/>
  <c r="E15" i="3" s="1"/>
  <c r="E15" i="4" s="1"/>
  <c r="F15" i="4" s="1"/>
  <c r="H15" i="4" s="1"/>
  <c r="E34" i="15"/>
  <c r="G34" i="15" s="1"/>
  <c r="E18" i="3" s="1"/>
  <c r="E18" i="6" s="1"/>
  <c r="F18" i="6" s="1"/>
  <c r="E37" i="15"/>
  <c r="G37" i="15" s="1"/>
  <c r="E21" i="3" s="1"/>
  <c r="F21" i="3" s="1"/>
  <c r="E30" i="15"/>
  <c r="G30" i="15" s="1"/>
  <c r="E14" i="3" s="1"/>
  <c r="E14" i="5" s="1"/>
  <c r="F14" i="5" s="1"/>
  <c r="E21" i="45"/>
  <c r="D21" i="45" s="1"/>
  <c r="D20" i="45"/>
  <c r="E35" i="48"/>
  <c r="G35" i="48" s="1"/>
  <c r="G44" i="31"/>
  <c r="C44" i="30" s="1"/>
  <c r="G44" i="30" s="1"/>
  <c r="H44" i="30" s="1"/>
  <c r="G60" i="29" s="1"/>
  <c r="E60" i="29"/>
  <c r="G17" i="4"/>
  <c r="D45" i="33"/>
  <c r="E45" i="33" s="1"/>
  <c r="E45" i="31"/>
  <c r="D45" i="34"/>
  <c r="E45" i="34" s="1"/>
  <c r="G45" i="34" s="1"/>
  <c r="F45" i="30" s="1"/>
  <c r="E45" i="32"/>
  <c r="G45" i="32" s="1"/>
  <c r="D45" i="30" s="1"/>
  <c r="G42" i="30"/>
  <c r="I55" i="17"/>
  <c r="E19" i="6"/>
  <c r="F19" i="6" s="1"/>
  <c r="F19" i="3"/>
  <c r="E19" i="5"/>
  <c r="F19" i="5" s="1"/>
  <c r="E19" i="4"/>
  <c r="F19" i="4" s="1"/>
  <c r="E14" i="4"/>
  <c r="F14" i="4" s="1"/>
  <c r="E16" i="4"/>
  <c r="F16" i="4" s="1"/>
  <c r="H16" i="4" s="1"/>
  <c r="E16" i="6"/>
  <c r="F16" i="6" s="1"/>
  <c r="H16" i="6" s="1"/>
  <c r="E16" i="5"/>
  <c r="F16" i="5" s="1"/>
  <c r="H16" i="5" s="1"/>
  <c r="E23" i="6" l="1"/>
  <c r="F23" i="6" s="1"/>
  <c r="E23" i="5"/>
  <c r="F23" i="5" s="1"/>
  <c r="F23" i="3"/>
  <c r="E17" i="4"/>
  <c r="F17" i="4" s="1"/>
  <c r="H17" i="4" s="1"/>
  <c r="E21" i="4"/>
  <c r="F21" i="4" s="1"/>
  <c r="E21" i="6"/>
  <c r="F21" i="6" s="1"/>
  <c r="E17" i="5"/>
  <c r="F17" i="5" s="1"/>
  <c r="H17" i="5" s="1"/>
  <c r="F14" i="3"/>
  <c r="E21" i="5"/>
  <c r="F21" i="5" s="1"/>
  <c r="E22" i="5"/>
  <c r="F22" i="5" s="1"/>
  <c r="E20" i="4"/>
  <c r="F20" i="4" s="1"/>
  <c r="E22" i="4"/>
  <c r="F22" i="4" s="1"/>
  <c r="F15" i="3"/>
  <c r="H15" i="3" s="1"/>
  <c r="E22" i="6"/>
  <c r="F22" i="6" s="1"/>
  <c r="E14" i="6"/>
  <c r="F14" i="6" s="1"/>
  <c r="H14" i="6" s="1"/>
  <c r="E17" i="6"/>
  <c r="F17" i="6" s="1"/>
  <c r="H17" i="6" s="1"/>
  <c r="F20" i="3"/>
  <c r="E15" i="6"/>
  <c r="F15" i="6" s="1"/>
  <c r="H15" i="6" s="1"/>
  <c r="E20" i="6"/>
  <c r="F20" i="6" s="1"/>
  <c r="E15" i="5"/>
  <c r="F15" i="5" s="1"/>
  <c r="H15" i="5" s="1"/>
  <c r="E18" i="5"/>
  <c r="F18" i="5" s="1"/>
  <c r="E18" i="4"/>
  <c r="F18" i="4" s="1"/>
  <c r="F18" i="3"/>
  <c r="D46" i="34"/>
  <c r="E46" i="34" s="1"/>
  <c r="G46" i="34" s="1"/>
  <c r="F46" i="30" s="1"/>
  <c r="E46" i="32"/>
  <c r="G46" i="32" s="1"/>
  <c r="D46" i="30" s="1"/>
  <c r="D46" i="33"/>
  <c r="E46" i="33" s="1"/>
  <c r="G46" i="33" s="1"/>
  <c r="E46" i="30" s="1"/>
  <c r="E46" i="31"/>
  <c r="H42" i="30"/>
  <c r="E61" i="29"/>
  <c r="G45" i="31"/>
  <c r="C45" i="30" s="1"/>
  <c r="E36" i="48"/>
  <c r="G36" i="48" s="1"/>
  <c r="D19" i="42"/>
  <c r="E19" i="42" s="1"/>
  <c r="D19" i="41"/>
  <c r="E19" i="41" s="1"/>
  <c r="D19" i="43"/>
  <c r="E19" i="43" s="1"/>
  <c r="G18" i="5" s="1"/>
  <c r="D19" i="44"/>
  <c r="E19" i="44" s="1"/>
  <c r="D20" i="42"/>
  <c r="E20" i="42" s="1"/>
  <c r="G19" i="4" s="1"/>
  <c r="H19" i="4" s="1"/>
  <c r="D20" i="44"/>
  <c r="E20" i="44" s="1"/>
  <c r="G19" i="6" s="1"/>
  <c r="H19" i="6" s="1"/>
  <c r="D20" i="43"/>
  <c r="E20" i="43" s="1"/>
  <c r="G19" i="5" s="1"/>
  <c r="H19" i="5" s="1"/>
  <c r="D20" i="41"/>
  <c r="E20" i="41" s="1"/>
  <c r="G19" i="3" s="1"/>
  <c r="H19" i="3" s="1"/>
  <c r="G45" i="33"/>
  <c r="E45" i="30" s="1"/>
  <c r="E22" i="45"/>
  <c r="H14" i="4"/>
  <c r="H14" i="3"/>
  <c r="H14" i="5"/>
  <c r="F26" i="4" l="1"/>
  <c r="F26" i="3"/>
  <c r="F26" i="5"/>
  <c r="H18" i="5"/>
  <c r="F26" i="6"/>
  <c r="E47" i="32"/>
  <c r="G47" i="32" s="1"/>
  <c r="D47" i="30" s="1"/>
  <c r="D47" i="34"/>
  <c r="E47" i="34" s="1"/>
  <c r="G47" i="34" s="1"/>
  <c r="F47" i="30" s="1"/>
  <c r="E47" i="31"/>
  <c r="D47" i="33"/>
  <c r="E47" i="33" s="1"/>
  <c r="G47" i="33" s="1"/>
  <c r="E47" i="30" s="1"/>
  <c r="G18" i="3"/>
  <c r="H18" i="3" s="1"/>
  <c r="G45" i="30"/>
  <c r="D22" i="45"/>
  <c r="G18" i="4"/>
  <c r="H18" i="4" s="1"/>
  <c r="E62" i="29"/>
  <c r="G46" i="31"/>
  <c r="C46" i="30" s="1"/>
  <c r="G46" i="30" s="1"/>
  <c r="H46" i="30" s="1"/>
  <c r="G62" i="29" s="1"/>
  <c r="G18" i="6"/>
  <c r="E37" i="48"/>
  <c r="G37" i="48" s="1"/>
  <c r="E23" i="45"/>
  <c r="D23" i="45" s="1"/>
  <c r="G58" i="29"/>
  <c r="E24" i="45" l="1"/>
  <c r="D24" i="45" s="1"/>
  <c r="D48" i="34"/>
  <c r="E48" i="34" s="1"/>
  <c r="G48" i="34" s="1"/>
  <c r="F48" i="30" s="1"/>
  <c r="D48" i="33"/>
  <c r="E48" i="33" s="1"/>
  <c r="G48" i="33" s="1"/>
  <c r="E48" i="30" s="1"/>
  <c r="E48" i="32"/>
  <c r="G48" i="32" s="1"/>
  <c r="D48" i="30" s="1"/>
  <c r="E48" i="31"/>
  <c r="H18" i="6"/>
  <c r="E38" i="48"/>
  <c r="G38" i="48" s="1"/>
  <c r="D22" i="43"/>
  <c r="E22" i="43" s="1"/>
  <c r="G21" i="5" s="1"/>
  <c r="H21" i="5" s="1"/>
  <c r="D22" i="41"/>
  <c r="E22" i="41" s="1"/>
  <c r="G21" i="3" s="1"/>
  <c r="H21" i="3" s="1"/>
  <c r="D22" i="42"/>
  <c r="E22" i="42" s="1"/>
  <c r="G21" i="4" s="1"/>
  <c r="H21" i="4" s="1"/>
  <c r="D22" i="44"/>
  <c r="E22" i="44" s="1"/>
  <c r="G21" i="6" s="1"/>
  <c r="H21" i="6" s="1"/>
  <c r="D21" i="42"/>
  <c r="E21" i="42" s="1"/>
  <c r="G20" i="4" s="1"/>
  <c r="H20" i="4" s="1"/>
  <c r="D21" i="43"/>
  <c r="E21" i="43" s="1"/>
  <c r="G20" i="5" s="1"/>
  <c r="H20" i="5" s="1"/>
  <c r="D21" i="41"/>
  <c r="E21" i="41" s="1"/>
  <c r="G20" i="3" s="1"/>
  <c r="H20" i="3" s="1"/>
  <c r="D21" i="44"/>
  <c r="E21" i="44" s="1"/>
  <c r="H45" i="30"/>
  <c r="G47" i="31"/>
  <c r="C47" i="30" s="1"/>
  <c r="G47" i="30" s="1"/>
  <c r="H47" i="30" s="1"/>
  <c r="G63" i="29" s="1"/>
  <c r="E63" i="29"/>
  <c r="D49" i="34" l="1"/>
  <c r="E49" i="34" s="1"/>
  <c r="G49" i="34" s="1"/>
  <c r="F49" i="30" s="1"/>
  <c r="D49" i="33"/>
  <c r="E49" i="33" s="1"/>
  <c r="G49" i="33" s="1"/>
  <c r="E49" i="30" s="1"/>
  <c r="E49" i="31"/>
  <c r="E49" i="32"/>
  <c r="G49" i="32" s="1"/>
  <c r="D49" i="30" s="1"/>
  <c r="G20" i="6"/>
  <c r="H20" i="6" s="1"/>
  <c r="G48" i="31"/>
  <c r="C48" i="30" s="1"/>
  <c r="G48" i="30" s="1"/>
  <c r="H48" i="30" s="1"/>
  <c r="G64" i="29" s="1"/>
  <c r="E25" i="28" s="1"/>
  <c r="E64" i="29"/>
  <c r="C25" i="28" s="1"/>
  <c r="E25" i="45"/>
  <c r="G61" i="29"/>
  <c r="D23" i="43"/>
  <c r="E23" i="43" s="1"/>
  <c r="G22" i="5" s="1"/>
  <c r="H22" i="5" s="1"/>
  <c r="D23" i="44"/>
  <c r="E23" i="44" s="1"/>
  <c r="G22" i="6" s="1"/>
  <c r="H22" i="6" s="1"/>
  <c r="D23" i="41"/>
  <c r="E23" i="41" s="1"/>
  <c r="G22" i="3" s="1"/>
  <c r="H22" i="3" s="1"/>
  <c r="D23" i="42"/>
  <c r="E23" i="42" s="1"/>
  <c r="G22" i="4" s="1"/>
  <c r="H22" i="4" s="1"/>
  <c r="E39" i="48"/>
  <c r="D42" i="48"/>
  <c r="E27" i="28" l="1"/>
  <c r="G49" i="31"/>
  <c r="C49" i="30" s="1"/>
  <c r="G49" i="30" s="1"/>
  <c r="H49" i="30" s="1"/>
  <c r="G65" i="29" s="1"/>
  <c r="E65" i="29"/>
  <c r="D50" i="33"/>
  <c r="E50" i="33" s="1"/>
  <c r="D50" i="34"/>
  <c r="E50" i="34" s="1"/>
  <c r="E50" i="32"/>
  <c r="E50" i="31"/>
  <c r="G39" i="48"/>
  <c r="G42" i="48" s="1"/>
  <c r="E42" i="48"/>
  <c r="D25" i="45"/>
  <c r="E27" i="45"/>
  <c r="G50" i="34" l="1"/>
  <c r="F50" i="30" s="1"/>
  <c r="F52" i="30" s="1"/>
  <c r="E52" i="34"/>
  <c r="G52" i="34" s="1"/>
  <c r="G50" i="32"/>
  <c r="D50" i="30" s="1"/>
  <c r="D52" i="30" s="1"/>
  <c r="E52" i="32"/>
  <c r="G52" i="32" s="1"/>
  <c r="D24" i="44"/>
  <c r="E24" i="44" s="1"/>
  <c r="D24" i="42"/>
  <c r="E24" i="42" s="1"/>
  <c r="D24" i="41"/>
  <c r="E24" i="41" s="1"/>
  <c r="D24" i="43"/>
  <c r="E24" i="43" s="1"/>
  <c r="G50" i="33"/>
  <c r="E50" i="30" s="1"/>
  <c r="E52" i="30" s="1"/>
  <c r="E52" i="33"/>
  <c r="G52" i="33" s="1"/>
  <c r="E66" i="29"/>
  <c r="E68" i="29" s="1"/>
  <c r="G50" i="31"/>
  <c r="C50" i="30" s="1"/>
  <c r="E53" i="31"/>
  <c r="G53" i="31" s="1"/>
  <c r="G23" i="5" l="1"/>
  <c r="E27" i="43"/>
  <c r="G23" i="6"/>
  <c r="E27" i="44"/>
  <c r="G50" i="30"/>
  <c r="C52" i="30"/>
  <c r="G23" i="3"/>
  <c r="E27" i="41"/>
  <c r="G23" i="4"/>
  <c r="E27" i="42"/>
  <c r="G26" i="3" l="1"/>
  <c r="H26" i="3" s="1"/>
  <c r="E14" i="2" s="1"/>
  <c r="H23" i="3"/>
  <c r="H23" i="6"/>
  <c r="G26" i="6"/>
  <c r="H26" i="6" s="1"/>
  <c r="E17" i="2" s="1"/>
  <c r="G26" i="4"/>
  <c r="H26" i="4" s="1"/>
  <c r="E15" i="2" s="1"/>
  <c r="H23" i="4"/>
  <c r="H50" i="30"/>
  <c r="G52" i="30"/>
  <c r="G26" i="5"/>
  <c r="H26" i="5" s="1"/>
  <c r="E16" i="2" s="1"/>
  <c r="H23" i="5"/>
  <c r="E19" i="2" l="1"/>
  <c r="D19" i="1" s="1"/>
  <c r="D23" i="1" s="1"/>
  <c r="D25" i="1" s="1"/>
  <c r="F25" i="1" s="1"/>
  <c r="H25" i="1" s="1"/>
  <c r="E19" i="1"/>
  <c r="G66" i="29"/>
  <c r="G69" i="29" s="1"/>
  <c r="H52" i="30"/>
  <c r="G70" i="29" l="1"/>
  <c r="E29" i="28" s="1"/>
  <c r="G68" i="29"/>
  <c r="E21" i="1"/>
  <c r="E15" i="1"/>
  <c r="D21" i="1"/>
  <c r="D15" i="1"/>
  <c r="F13" i="28" l="1"/>
  <c r="F16" i="28"/>
  <c r="F15" i="28"/>
  <c r="F14" i="28"/>
  <c r="F20" i="28"/>
  <c r="F19" i="28"/>
  <c r="F17" i="28"/>
  <c r="F18" i="28"/>
  <c r="F22" i="28"/>
  <c r="F23" i="28"/>
  <c r="F24" i="28"/>
  <c r="F21" i="28"/>
  <c r="F25" i="28"/>
  <c r="E23" i="1"/>
  <c r="F23" i="1" s="1"/>
  <c r="H23" i="1" s="1"/>
  <c r="F21" i="1"/>
  <c r="H21" i="1" s="1"/>
  <c r="F27" i="28" l="1"/>
  <c r="E32" i="28" s="1"/>
  <c r="E40" i="28" s="1"/>
  <c r="C14" i="27" s="1"/>
  <c r="E14" i="27" s="1"/>
  <c r="C19" i="1" s="1"/>
  <c r="C15" i="1" s="1"/>
  <c r="E31" i="28" l="1"/>
  <c r="F19" i="1"/>
  <c r="H19" i="1" l="1"/>
  <c r="F15" i="1"/>
  <c r="H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1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Jim Murphy:
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  <author>jmurphy</author>
  </authors>
  <commentList>
    <comment ref="F3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subtract a certain number</t>
        </r>
      </text>
    </comment>
    <comment ref="K41" authorId="1" shapeId="0" xr:uid="{00000000-0006-0000-2000-000002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Dolly Ike Lit Reduction spreadsheet</t>
        </r>
      </text>
    </comment>
  </commentList>
</comments>
</file>

<file path=xl/sharedStrings.xml><?xml version="1.0" encoding="utf-8"?>
<sst xmlns="http://schemas.openxmlformats.org/spreadsheetml/2006/main" count="1257" uniqueCount="446">
  <si>
    <t>Texas Windstorm Insurance Association</t>
  </si>
  <si>
    <t>Residential Property - Wind &amp; Hail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</si>
  <si>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</si>
  <si>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</si>
  <si>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</si>
  <si>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</si>
  <si>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</si>
  <si>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</si>
  <si>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</si>
  <si>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</si>
  <si>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</si>
  <si>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</si>
  <si>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</si>
  <si>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</si>
  <si>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</si>
  <si>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</si>
  <si>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Hurricane Projection Method</t>
  </si>
  <si>
    <t>Notes:</t>
  </si>
  <si>
    <t>Projected Ultimate Non-Hurricane Loss &amp; LAE Ratio</t>
  </si>
  <si>
    <t>All Territory Weighted Average</t>
  </si>
  <si>
    <t>Exhibit 2</t>
  </si>
  <si>
    <t>Sheet 1</t>
  </si>
  <si>
    <t>Territory</t>
  </si>
  <si>
    <t>Tier 1 - Territory 8</t>
  </si>
  <si>
    <t>Tier 2</t>
  </si>
  <si>
    <t>Tier 1 - Territory 10</t>
  </si>
  <si>
    <t>Tier 1 - Territory 9</t>
  </si>
  <si>
    <t>Amount</t>
  </si>
  <si>
    <t>Share</t>
  </si>
  <si>
    <t>Loss &amp; LAE Ratio</t>
  </si>
  <si>
    <t>Total / Average</t>
  </si>
  <si>
    <t>Tier 1 -- Territory 8 (Galveston County)</t>
  </si>
  <si>
    <t>Sheet 2a</t>
  </si>
  <si>
    <t>Accident Year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</si>
  <si>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</si>
  <si>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</si>
  <si>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</si>
  <si>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</si>
  <si>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</si>
  <si>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</si>
  <si>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</si>
  <si>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</si>
  <si>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</si>
  <si>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</si>
  <si>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</si>
  <si>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</si>
  <si>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Sheet 2b</t>
  </si>
  <si>
    <t>Tier 1 -- Territory 10 (Other Tier 1)</t>
  </si>
  <si>
    <t>Sheet 2c</t>
  </si>
  <si>
    <t>Sheet 2d</t>
  </si>
  <si>
    <t>Tier 2 -- (Territories 1 and 11)</t>
  </si>
  <si>
    <t>Sheet 3a</t>
  </si>
  <si>
    <t>Projected Ultimate Non-Hurricane Loss</t>
  </si>
  <si>
    <t>Accident</t>
  </si>
  <si>
    <t>Year</t>
  </si>
  <si>
    <t>Paid Loss</t>
  </si>
  <si>
    <t>Development</t>
  </si>
  <si>
    <t>Sheet 3b</t>
  </si>
  <si>
    <t>Sheet 3c</t>
  </si>
  <si>
    <t>Sheet 3d</t>
  </si>
  <si>
    <t>Paid Loss Excluding Expense</t>
  </si>
  <si>
    <t>Sheet 4a</t>
  </si>
  <si>
    <t>Sheet 4b</t>
  </si>
  <si>
    <t>Sheet 4c</t>
  </si>
  <si>
    <t>Sheet 4d</t>
  </si>
  <si>
    <t>Paid Loss Development Factors</t>
  </si>
  <si>
    <t>Statewide Industry Extended Coverage Dwelling Paid Loss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</si>
  <si>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</si>
  <si>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</si>
  <si>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</si>
  <si>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</si>
  <si>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</si>
  <si>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</si>
  <si>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</si>
  <si>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</si>
  <si>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</si>
  <si>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</si>
  <si>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</si>
  <si>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</si>
  <si>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</si>
  <si>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</si>
  <si>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</si>
  <si>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</si>
  <si>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</si>
  <si>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</si>
  <si>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</si>
  <si>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</si>
  <si>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</si>
  <si>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</si>
  <si>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</si>
  <si>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</si>
  <si>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</si>
  <si>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</si>
  <si>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ULAE</t>
  </si>
  <si>
    <t>Sheet 5</t>
  </si>
  <si>
    <t>Incurred ALAE Development Factors</t>
  </si>
  <si>
    <t>TWIA Schedule P Incurred ALAE (Including IBNR)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</si>
  <si>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</si>
  <si>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</si>
  <si>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</si>
  <si>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</si>
  <si>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</si>
  <si>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</si>
  <si>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AIR Model</t>
  </si>
  <si>
    <t>RMS Model</t>
  </si>
  <si>
    <t>Average of Models</t>
  </si>
  <si>
    <t>Exhibit 6</t>
  </si>
  <si>
    <t>Industry Experience -- Residential Extended Coverage</t>
  </si>
  <si>
    <t>1971</t>
  </si>
  <si>
    <t>1980</t>
  </si>
  <si>
    <t>1983</t>
  </si>
  <si>
    <t>1986</t>
  </si>
  <si>
    <t>1989</t>
  </si>
  <si>
    <t>1999</t>
  </si>
  <si>
    <t>(10)</t>
  </si>
  <si>
    <t>Start</t>
  </si>
  <si>
    <t>End</t>
  </si>
  <si>
    <t>Simple Average Loss Ratio for Hurricane Years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</si>
  <si>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</si>
  <si>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</si>
  <si>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</si>
  <si>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</si>
  <si>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</si>
  <si>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</si>
  <si>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</si>
  <si>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</si>
  <si>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</si>
  <si>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</si>
  <si>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at CMR</t>
  </si>
  <si>
    <t>Average of Non-Hurricane Years</t>
  </si>
  <si>
    <t>Territory 8</t>
  </si>
  <si>
    <t>Territory 9</t>
  </si>
  <si>
    <t>Territory 10</t>
  </si>
  <si>
    <t>Weighted</t>
  </si>
  <si>
    <t>Loss Ratios by Territory / Tier</t>
  </si>
  <si>
    <t>% Share</t>
  </si>
  <si>
    <t>to TWIA</t>
  </si>
  <si>
    <t>Rate Level</t>
  </si>
  <si>
    <t>Sheet 6</t>
  </si>
  <si>
    <t>Sheet 7</t>
  </si>
  <si>
    <t>Factor to TWIA Rate Level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</si>
  <si>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</si>
  <si>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</si>
  <si>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</si>
  <si>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</si>
  <si>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</si>
  <si>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</si>
  <si>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</si>
  <si>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</si>
  <si>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</si>
  <si>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</si>
  <si>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</si>
  <si>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</si>
  <si>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</si>
  <si>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</si>
  <si>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</si>
  <si>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</si>
  <si>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</si>
  <si>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</si>
  <si>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</si>
  <si>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</si>
  <si>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</si>
  <si>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</si>
  <si>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</si>
  <si>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</si>
  <si>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</si>
  <si>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</si>
  <si>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</si>
  <si>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</si>
  <si>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Hurricane Loss Ratio -- AIR Model</t>
  </si>
  <si>
    <t>AIR Simulated Hurricane Results</t>
  </si>
  <si>
    <t>Exhibit 9</t>
  </si>
  <si>
    <t>Hurricane Loss Ratio -- RMS Model</t>
  </si>
  <si>
    <t>RMS Simulated Hurricane Results</t>
  </si>
  <si>
    <t>Exhibit 10</t>
  </si>
  <si>
    <t>Name</t>
  </si>
  <si>
    <t>Frequency</t>
  </si>
  <si>
    <t>Date Period</t>
  </si>
  <si>
    <t>Hurricanes</t>
  </si>
  <si>
    <t>Annual Frequency</t>
  </si>
  <si>
    <t>Exhibit 11</t>
  </si>
  <si>
    <t>Sheet 1a</t>
  </si>
  <si>
    <t>Manual Rates</t>
  </si>
  <si>
    <t>Sheet 1b</t>
  </si>
  <si>
    <t>Sheet 1c</t>
  </si>
  <si>
    <t>Sheet 1d</t>
  </si>
  <si>
    <t>Calculation of TWIA Earned Premium at Present Rate Level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</si>
  <si>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</si>
  <si>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</si>
  <si>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</si>
  <si>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</si>
  <si>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</si>
  <si>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</si>
  <si>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</si>
  <si>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</si>
  <si>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</si>
  <si>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</si>
  <si>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</si>
  <si>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</si>
  <si>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</si>
  <si>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</si>
  <si>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</si>
  <si>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</si>
  <si>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</si>
  <si>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</si>
  <si>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</si>
  <si>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(15)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</si>
  <si>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</si>
  <si>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</si>
  <si>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</si>
  <si>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</si>
  <si>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</si>
  <si>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</si>
  <si>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</si>
  <si>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</si>
  <si>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CY Data Ending</t>
  </si>
  <si>
    <t>Calendar Year Ending</t>
  </si>
  <si>
    <t>CAY Ending</t>
  </si>
  <si>
    <t>Evaluated as of</t>
  </si>
  <si>
    <t>Latest Annual Statement Date</t>
  </si>
  <si>
    <t>Ultimate LAE (TWIA All Lines)</t>
  </si>
  <si>
    <t>In-Force</t>
  </si>
  <si>
    <t>Trend Length</t>
  </si>
  <si>
    <t>Selected Premium Trend</t>
  </si>
  <si>
    <t>Fixed Expenses and Variable Permissible Loss &amp; LAE Ratios</t>
  </si>
  <si>
    <t>Fixed</t>
  </si>
  <si>
    <t>Expenses</t>
  </si>
  <si>
    <t>LLAE Ratio</t>
  </si>
  <si>
    <t>Current</t>
  </si>
  <si>
    <t>Prospective</t>
  </si>
  <si>
    <t>Premium Trend Analysis</t>
  </si>
  <si>
    <t>Written</t>
  </si>
  <si>
    <t>Year /</t>
  </si>
  <si>
    <t>Period</t>
  </si>
  <si>
    <t>Quarter</t>
  </si>
  <si>
    <t>Index</t>
  </si>
  <si>
    <t>Loss Trend Analysis</t>
  </si>
  <si>
    <t>Summary of Indices and Calculation of Prospective Loss Costs</t>
  </si>
  <si>
    <t>CY Ending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</si>
  <si>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</si>
  <si>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</si>
  <si>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</si>
  <si>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</si>
  <si>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</si>
  <si>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</si>
  <si>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</si>
  <si>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</si>
  <si>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</si>
  <si>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</si>
  <si>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</si>
  <si>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</si>
  <si>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Boeckh Residential Construction Index Trend (Statewide)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</si>
  <si>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</si>
  <si>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</si>
  <si>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</si>
  <si>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</si>
  <si>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</si>
  <si>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</si>
  <si>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</si>
  <si>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</si>
  <si>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</si>
  <si>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</si>
  <si>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Boeckh Residential Construction Index Trend (Coastal)</t>
  </si>
  <si>
    <t>Modified Consumer Price Index - External Trend</t>
  </si>
  <si>
    <t>1970</t>
  </si>
  <si>
    <t>Prior</t>
  </si>
  <si>
    <t>OLF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</si>
  <si>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</si>
  <si>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</si>
  <si>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</si>
  <si>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</si>
  <si>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</si>
  <si>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</si>
  <si>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</si>
  <si>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</si>
  <si>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</si>
  <si>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2003</t>
  </si>
  <si>
    <t>Using Actual Industry Experience</t>
  </si>
  <si>
    <t>Industry Experience</t>
  </si>
  <si>
    <t>Historical Hurricane Frequency</t>
  </si>
  <si>
    <t>Selected Frequency</t>
  </si>
  <si>
    <t>5-Year</t>
  </si>
  <si>
    <t>4-Year</t>
  </si>
  <si>
    <t>3-Year</t>
  </si>
  <si>
    <t>Selected Loss Trend</t>
  </si>
  <si>
    <t>2005</t>
  </si>
  <si>
    <t>at Present Rates</t>
  </si>
  <si>
    <t>Exponential Fitted Trends</t>
  </si>
  <si>
    <t>Level</t>
  </si>
  <si>
    <t>All-Year</t>
  </si>
  <si>
    <t>Correlation Coefficient</t>
  </si>
  <si>
    <t>Average Annual Change</t>
  </si>
  <si>
    <t>(16)</t>
  </si>
  <si>
    <t>Factors</t>
  </si>
  <si>
    <t>TWIA Residential Earned Premium at Present Rates</t>
  </si>
  <si>
    <t>Landfall</t>
  </si>
  <si>
    <t>Month</t>
  </si>
  <si>
    <t>On-</t>
  </si>
  <si>
    <t>Exhibit 7</t>
  </si>
  <si>
    <t>2007</t>
  </si>
  <si>
    <t>2008</t>
  </si>
  <si>
    <t>Using Experience and Models</t>
  </si>
  <si>
    <t>Proposed</t>
  </si>
  <si>
    <t>Development of Reinsurer Expense</t>
  </si>
  <si>
    <t>Using Average of AIR and  RMS Hurricane Models</t>
  </si>
  <si>
    <t>Reinsurance Contract</t>
  </si>
  <si>
    <t>Effective</t>
  </si>
  <si>
    <t>Expiring</t>
  </si>
  <si>
    <t>Average Earned Date</t>
  </si>
  <si>
    <t>(2a)</t>
  </si>
  <si>
    <t>Average Annual Loss by Reinsurance Layer (AIR)</t>
  </si>
  <si>
    <t>Hurricane Model</t>
  </si>
  <si>
    <t>Selected Exposure Trend</t>
  </si>
  <si>
    <t>(2b)</t>
  </si>
  <si>
    <t>Average Annual Loss by Reinsurance Layer (RMS)</t>
  </si>
  <si>
    <t>12/31</t>
  </si>
  <si>
    <t>(2c)</t>
  </si>
  <si>
    <t>Selected Total Average Annual Loss</t>
  </si>
  <si>
    <t>Trended</t>
  </si>
  <si>
    <t>Annual Exposure Growth</t>
  </si>
  <si>
    <t>Prospective Average Annual Loss</t>
  </si>
  <si>
    <t>Net Cost of Reinsurance</t>
  </si>
  <si>
    <t>Indicated Reinsurance Expense %</t>
  </si>
  <si>
    <t>Provision for</t>
  </si>
  <si>
    <t>Storm Surge</t>
  </si>
  <si>
    <t>AIR Storm Surge Increase</t>
  </si>
  <si>
    <t>RMS Storm Surge Increase</t>
  </si>
  <si>
    <t>TWIA</t>
  </si>
  <si>
    <t>Projected Ultimate Non-Hurricane Loss &amp; LAE Ratio based on TWIA experience</t>
  </si>
  <si>
    <t>to Current</t>
  </si>
  <si>
    <t>Litigation cost reduction</t>
  </si>
  <si>
    <t/>
  </si>
  <si>
    <t>Note: depop increase 2%</t>
  </si>
  <si>
    <t>Note: depop would be 3%</t>
  </si>
  <si>
    <t>at</t>
  </si>
  <si>
    <t>Writen premium</t>
  </si>
  <si>
    <t>At present rates</t>
  </si>
  <si>
    <t xml:space="preserve"> </t>
  </si>
  <si>
    <t>Selected Cumulative</t>
  </si>
  <si>
    <t>Tier 2 -- (Territories 1)</t>
  </si>
  <si>
    <t>Tier 2 -- (Territories 1 )</t>
  </si>
  <si>
    <t>2018 EPPR</t>
  </si>
  <si>
    <t xml:space="preserve"> Loss Ratio</t>
  </si>
  <si>
    <t>Wtd Devel'd</t>
  </si>
  <si>
    <t>May consider frequency and severity trend sperately</t>
  </si>
  <si>
    <t xml:space="preserve"> to incorporate the statutory limitations on litigation cost that House Bill 3 provides</t>
  </si>
  <si>
    <t>Exposure</t>
  </si>
  <si>
    <t>Quarterly</t>
  </si>
  <si>
    <t>Four Quarter Ending</t>
  </si>
  <si>
    <t>(6) = (5) / (2)</t>
  </si>
  <si>
    <t>(7) annualized average written premium</t>
  </si>
  <si>
    <t>Per house year</t>
  </si>
  <si>
    <t>(6) a</t>
  </si>
  <si>
    <t>(6) b</t>
  </si>
  <si>
    <t>Selected Average Hurricane Loss Ratio Per Hurricane</t>
  </si>
  <si>
    <t>Cat 3</t>
  </si>
  <si>
    <t>Cat 2</t>
  </si>
  <si>
    <t>With SS</t>
  </si>
  <si>
    <t>With Default SS</t>
  </si>
  <si>
    <t>Permissible Loss, LAE and Fixed Expense Ratio</t>
  </si>
  <si>
    <t>(6) update to latest year</t>
  </si>
  <si>
    <t>Number of Hurricanes</t>
  </si>
  <si>
    <t>During the Year</t>
  </si>
  <si>
    <t>Hurricane Year</t>
  </si>
  <si>
    <t>Per Hurricane</t>
  </si>
  <si>
    <t>Average Hurricane Loss Ratio per Hurricane</t>
  </si>
  <si>
    <t>(6) b = Selected</t>
  </si>
  <si>
    <t>Statewide Industry Extended Coverage Dwelling Incurred Loss</t>
  </si>
  <si>
    <t>Using RMS Models</t>
  </si>
  <si>
    <t>Using AIR Models</t>
  </si>
  <si>
    <t>Rate Factor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</si>
  <si>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</si>
  <si>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</si>
  <si>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</si>
  <si>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</si>
  <si>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</si>
  <si>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</si>
  <si>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</si>
  <si>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</si>
  <si>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</si>
  <si>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</si>
  <si>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</si>
  <si>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</si>
  <si>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</si>
  <si>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</si>
  <si>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</si>
  <si>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</si>
  <si>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</si>
  <si>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</si>
  <si>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</si>
  <si>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</si>
  <si>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</si>
  <si>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</si>
  <si>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</si>
  <si>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</si>
  <si>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</si>
  <si>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</si>
  <si>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</si>
  <si>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</si>
  <si>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</si>
  <si>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</si>
  <si>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</si>
  <si>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</si>
  <si>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</si>
  <si>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OLFs</t>
  </si>
  <si>
    <t>1968</t>
  </si>
  <si>
    <t>(4) = MAX((3)-(5),0)/(2)</t>
  </si>
  <si>
    <t>(7) = (6) * loss development factors from Exhibit 3.1b</t>
  </si>
  <si>
    <t>2020 Rate Level Review</t>
  </si>
  <si>
    <t>Table of Contents</t>
  </si>
  <si>
    <t>Main Heading</t>
  </si>
  <si>
    <t>Sub-heading</t>
  </si>
  <si>
    <t xml:space="preserve">Exhibit </t>
  </si>
  <si>
    <t>Sheet</t>
  </si>
  <si>
    <t>Tab label</t>
  </si>
  <si>
    <t>2.2a</t>
  </si>
  <si>
    <t>2.2b</t>
  </si>
  <si>
    <t>2.2c</t>
  </si>
  <si>
    <t>2.2d</t>
  </si>
  <si>
    <t>2.3a</t>
  </si>
  <si>
    <t>2.3b</t>
  </si>
  <si>
    <t>2.3c</t>
  </si>
  <si>
    <t>2.3d</t>
  </si>
  <si>
    <t>2.4a</t>
  </si>
  <si>
    <t>2.4b</t>
  </si>
  <si>
    <t>2.4c</t>
  </si>
  <si>
    <t>2.4d</t>
  </si>
  <si>
    <t>trend 2.5</t>
  </si>
  <si>
    <t>ldf 3.1a</t>
  </si>
  <si>
    <t>ldf 3.1b</t>
  </si>
  <si>
    <t>3.2 premium trend</t>
  </si>
  <si>
    <t>3.3a</t>
  </si>
  <si>
    <t>3.3b</t>
  </si>
  <si>
    <t>3.3c</t>
  </si>
  <si>
    <t>3.3d</t>
  </si>
  <si>
    <t>4.3AS loss Dev</t>
  </si>
  <si>
    <t>4.5AS LAE Dev</t>
  </si>
  <si>
    <t>10.1a</t>
  </si>
  <si>
    <t>10.1b</t>
  </si>
  <si>
    <t>10.1c</t>
  </si>
  <si>
    <t>10.1d</t>
  </si>
  <si>
    <t>Average of AIR and RMS Models</t>
  </si>
  <si>
    <t>Summary of TWIA Historical Paid Loss as of 12/31/19</t>
  </si>
  <si>
    <t>Texas Hurricanes 1850 - 2019</t>
  </si>
  <si>
    <t>1966 - 2019 -- Hurricane Years Only</t>
  </si>
  <si>
    <t>1966 - 2019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</si>
</sst>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;@"/>
    <numFmt numFmtId="181" formatCode="0.00000%"/>
    <numFmt numFmtId="182" formatCode="_(* #,##0.0_);_(* \(#,##0.0\);_(* &quot;-&quot;??_);_(@_)"/>
  </numFmts>
  <fonts count="17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14"/>
      <name val="Arial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color rgb="FF666699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9" fillId="0" borderId="0"/>
    <xf numFmtId="173" fontId="9" fillId="0" borderId="0"/>
    <xf numFmtId="174" fontId="9" fillId="0" borderId="0"/>
    <xf numFmtId="177" fontId="9" fillId="0" borderId="0"/>
    <xf numFmtId="175" fontId="9" fillId="0" borderId="0"/>
    <xf numFmtId="172" fontId="9" fillId="0" borderId="0"/>
    <xf numFmtId="0" fontId="4" fillId="0" borderId="0"/>
    <xf numFmtId="9" fontId="1" fillId="0" borderId="0" applyFont="0" applyFill="0" applyBorder="0" applyAlignment="0" applyProtection="0"/>
    <xf numFmtId="164" fontId="9" fillId="0" borderId="0"/>
  </cellStyleXfs>
  <cellXfs count="3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7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0" fontId="5" fillId="0" borderId="0" xfId="0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0" fontId="4" fillId="0" borderId="0" xfId="0" applyFont="1" applyFill="1"/>
    <xf numFmtId="164" fontId="4" fillId="0" borderId="0" xfId="9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Fill="1"/>
    <xf numFmtId="3" fontId="0" fillId="0" borderId="7" xfId="0" applyNumberFormat="1" applyBorder="1"/>
    <xf numFmtId="164" fontId="0" fillId="0" borderId="0" xfId="0" applyNumberFormat="1" applyFill="1"/>
    <xf numFmtId="164" fontId="0" fillId="0" borderId="7" xfId="0" applyNumberFormat="1" applyFill="1" applyBorder="1"/>
    <xf numFmtId="3" fontId="4" fillId="0" borderId="0" xfId="0" applyNumberFormat="1" applyFont="1" applyFill="1"/>
    <xf numFmtId="3" fontId="4" fillId="0" borderId="7" xfId="0" applyNumberFormat="1" applyFont="1" applyFill="1" applyBorder="1"/>
    <xf numFmtId="3" fontId="0" fillId="0" borderId="0" xfId="0" applyNumberFormat="1" applyFill="1"/>
    <xf numFmtId="3" fontId="0" fillId="0" borderId="7" xfId="0" applyNumberFormat="1" applyFill="1" applyBorder="1"/>
    <xf numFmtId="166" fontId="4" fillId="0" borderId="0" xfId="0" applyNumberFormat="1" applyFont="1" applyFill="1"/>
    <xf numFmtId="166" fontId="0" fillId="0" borderId="0" xfId="0" applyNumberFormat="1" applyFill="1"/>
    <xf numFmtId="166" fontId="0" fillId="0" borderId="7" xfId="0" applyNumberFormat="1" applyFill="1" applyBorder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7" xfId="0" applyNumberFormat="1" applyFont="1" applyFill="1" applyBorder="1"/>
    <xf numFmtId="167" fontId="0" fillId="0" borderId="0" xfId="0" applyNumberFormat="1"/>
    <xf numFmtId="167" fontId="6" fillId="0" borderId="0" xfId="0" applyNumberFormat="1" applyFont="1"/>
    <xf numFmtId="166" fontId="0" fillId="0" borderId="0" xfId="0" applyNumberFormat="1"/>
    <xf numFmtId="166" fontId="5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4" fillId="0" borderId="0" xfId="0" applyNumberFormat="1" applyFont="1" applyFill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0" fontId="0" fillId="0" borderId="0" xfId="0" applyFill="1" applyAlignment="1">
      <alignment horizontal="left"/>
    </xf>
    <xf numFmtId="3" fontId="0" fillId="0" borderId="0" xfId="0" applyNumberFormat="1" applyBorder="1"/>
    <xf numFmtId="49" fontId="4" fillId="0" borderId="0" xfId="0" applyNumberFormat="1" applyFont="1" applyFill="1" applyBorder="1"/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quotePrefix="1" applyNumberFormat="1" applyAlignment="1">
      <alignment horizontal="center"/>
    </xf>
    <xf numFmtId="0" fontId="0" fillId="0" borderId="0" xfId="0" quotePrefix="1" applyFill="1"/>
    <xf numFmtId="166" fontId="4" fillId="0" borderId="7" xfId="0" applyNumberFormat="1" applyFont="1" applyFill="1" applyBorder="1"/>
    <xf numFmtId="3" fontId="5" fillId="0" borderId="7" xfId="0" applyNumberFormat="1" applyFont="1" applyFill="1" applyBorder="1"/>
    <xf numFmtId="14" fontId="0" fillId="0" borderId="0" xfId="0" applyNumberFormat="1"/>
    <xf numFmtId="49" fontId="4" fillId="0" borderId="7" xfId="0" applyNumberFormat="1" applyFont="1" applyBorder="1"/>
    <xf numFmtId="164" fontId="4" fillId="0" borderId="7" xfId="0" applyNumberFormat="1" applyFont="1" applyFill="1" applyBorder="1"/>
    <xf numFmtId="0" fontId="4" fillId="0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14" fontId="0" fillId="0" borderId="0" xfId="0" applyNumberFormat="1" applyFill="1"/>
    <xf numFmtId="166" fontId="0" fillId="0" borderId="0" xfId="0" applyNumberFormat="1" applyFill="1" applyBorder="1"/>
    <xf numFmtId="164" fontId="4" fillId="0" borderId="0" xfId="0" applyNumberFormat="1" applyFont="1"/>
    <xf numFmtId="170" fontId="4" fillId="0" borderId="0" xfId="9" applyNumberFormat="1" applyFont="1" applyFill="1"/>
    <xf numFmtId="170" fontId="0" fillId="0" borderId="0" xfId="0" applyNumberFormat="1"/>
    <xf numFmtId="0" fontId="6" fillId="0" borderId="0" xfId="0" applyFont="1" applyFill="1"/>
    <xf numFmtId="14" fontId="6" fillId="0" borderId="0" xfId="0" applyNumberFormat="1" applyFont="1" applyFill="1"/>
    <xf numFmtId="3" fontId="7" fillId="0" borderId="0" xfId="0" applyNumberFormat="1" applyFont="1" applyFill="1"/>
    <xf numFmtId="3" fontId="7" fillId="0" borderId="7" xfId="0" applyNumberFormat="1" applyFont="1" applyFill="1" applyBorder="1"/>
    <xf numFmtId="14" fontId="7" fillId="0" borderId="0" xfId="0" applyNumberFormat="1" applyFont="1"/>
    <xf numFmtId="14" fontId="7" fillId="0" borderId="0" xfId="0" applyNumberFormat="1" applyFont="1" applyFill="1"/>
    <xf numFmtId="14" fontId="4" fillId="0" borderId="0" xfId="0" applyNumberFormat="1" applyFont="1"/>
    <xf numFmtId="164" fontId="4" fillId="0" borderId="7" xfId="9" applyNumberFormat="1" applyFont="1" applyFill="1" applyBorder="1"/>
    <xf numFmtId="49" fontId="5" fillId="0" borderId="0" xfId="0" applyNumberFormat="1" applyFont="1" applyFill="1"/>
    <xf numFmtId="0" fontId="6" fillId="0" borderId="0" xfId="0" applyFont="1"/>
    <xf numFmtId="0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/>
    <xf numFmtId="3" fontId="7" fillId="0" borderId="0" xfId="0" applyNumberFormat="1" applyFont="1"/>
    <xf numFmtId="3" fontId="7" fillId="0" borderId="7" xfId="0" applyNumberFormat="1" applyFont="1" applyBorder="1"/>
    <xf numFmtId="164" fontId="7" fillId="0" borderId="0" xfId="0" applyNumberFormat="1" applyFont="1" applyFill="1"/>
    <xf numFmtId="169" fontId="7" fillId="0" borderId="0" xfId="0" applyNumberFormat="1" applyFont="1" applyFill="1"/>
    <xf numFmtId="14" fontId="5" fillId="0" borderId="0" xfId="0" applyNumberFormat="1" applyFont="1"/>
    <xf numFmtId="166" fontId="6" fillId="0" borderId="0" xfId="0" applyNumberFormat="1" applyFont="1"/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 applyFill="1"/>
    <xf numFmtId="0" fontId="4" fillId="0" borderId="0" xfId="0" applyFont="1" applyBorder="1"/>
    <xf numFmtId="0" fontId="0" fillId="0" borderId="0" xfId="0" applyBorder="1" applyAlignment="1">
      <alignment horizontal="centerContinuous"/>
    </xf>
    <xf numFmtId="3" fontId="7" fillId="0" borderId="0" xfId="0" applyNumberFormat="1" applyFont="1" applyFill="1" applyBorder="1"/>
    <xf numFmtId="166" fontId="4" fillId="0" borderId="0" xfId="0" applyNumberFormat="1" applyFont="1" applyFill="1" applyBorder="1"/>
    <xf numFmtId="166" fontId="0" fillId="0" borderId="0" xfId="0" applyNumberFormat="1" applyBorder="1"/>
    <xf numFmtId="0" fontId="4" fillId="0" borderId="0" xfId="0" quotePrefix="1" applyFont="1"/>
    <xf numFmtId="0" fontId="4" fillId="0" borderId="0" xfId="0" applyFont="1" applyFill="1" applyBorder="1"/>
    <xf numFmtId="164" fontId="6" fillId="0" borderId="0" xfId="0" applyNumberFormat="1" applyFont="1" applyFill="1" applyBorder="1"/>
    <xf numFmtId="0" fontId="4" fillId="0" borderId="0" xfId="8"/>
    <xf numFmtId="3" fontId="7" fillId="0" borderId="0" xfId="8" applyNumberFormat="1" applyFont="1" applyFill="1"/>
    <xf numFmtId="3" fontId="7" fillId="0" borderId="0" xfId="8" applyNumberFormat="1" applyFont="1" applyFill="1" applyBorder="1"/>
    <xf numFmtId="0" fontId="4" fillId="0" borderId="0" xfId="0" quotePrefix="1" applyFont="1" applyAlignment="1"/>
    <xf numFmtId="0" fontId="0" fillId="0" borderId="0" xfId="0" applyBorder="1" applyAlignment="1"/>
    <xf numFmtId="0" fontId="6" fillId="0" borderId="0" xfId="0" applyNumberFormat="1" applyFont="1"/>
    <xf numFmtId="0" fontId="0" fillId="0" borderId="0" xfId="0" quotePrefix="1" applyBorder="1" applyAlignment="1"/>
    <xf numFmtId="0" fontId="0" fillId="0" borderId="0" xfId="0" quotePrefix="1" applyFill="1" applyBorder="1" applyAlignment="1"/>
    <xf numFmtId="0" fontId="0" fillId="0" borderId="0" xfId="0" applyBorder="1" applyAlignment="1">
      <alignment horizontal="center"/>
    </xf>
    <xf numFmtId="2" fontId="4" fillId="0" borderId="0" xfId="0" applyNumberFormat="1" applyFont="1" applyFill="1"/>
    <xf numFmtId="14" fontId="0" fillId="0" borderId="7" xfId="0" applyNumberFormat="1" applyBorder="1"/>
    <xf numFmtId="2" fontId="4" fillId="0" borderId="7" xfId="0" applyNumberFormat="1" applyFont="1" applyFill="1" applyBorder="1"/>
    <xf numFmtId="0" fontId="0" fillId="0" borderId="0" xfId="0" applyFill="1" applyBorder="1" applyAlignment="1"/>
    <xf numFmtId="0" fontId="7" fillId="0" borderId="0" xfId="0" applyFont="1"/>
    <xf numFmtId="167" fontId="5" fillId="0" borderId="0" xfId="0" applyNumberFormat="1" applyFont="1"/>
    <xf numFmtId="167" fontId="7" fillId="0" borderId="0" xfId="0" applyNumberFormat="1" applyFont="1" applyFill="1"/>
    <xf numFmtId="3" fontId="4" fillId="0" borderId="0" xfId="0" applyNumberFormat="1" applyFont="1" applyFill="1" applyBorder="1"/>
    <xf numFmtId="166" fontId="5" fillId="0" borderId="0" xfId="0" applyNumberFormat="1" applyFont="1"/>
    <xf numFmtId="166" fontId="6" fillId="0" borderId="0" xfId="0" applyNumberFormat="1" applyFont="1" applyFill="1"/>
    <xf numFmtId="2" fontId="6" fillId="0" borderId="0" xfId="0" applyNumberFormat="1" applyFont="1" applyFill="1"/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/>
    <xf numFmtId="0" fontId="0" fillId="0" borderId="0" xfId="0" applyFont="1" applyFill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0" xfId="0" quotePrefix="1" applyFill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0" fillId="0" borderId="0" xfId="0" quotePrefix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right"/>
    </xf>
    <xf numFmtId="166" fontId="0" fillId="0" borderId="0" xfId="0" applyNumberFormat="1" applyProtection="1"/>
    <xf numFmtId="166" fontId="0" fillId="0" borderId="0" xfId="0" applyNumberFormat="1" applyFont="1" applyFill="1" applyBorder="1" applyProtection="1"/>
    <xf numFmtId="168" fontId="0" fillId="0" borderId="0" xfId="0" applyNumberFormat="1" applyFont="1" applyFill="1" applyAlignment="1" applyProtection="1"/>
    <xf numFmtId="166" fontId="0" fillId="0" borderId="0" xfId="0" applyNumberFormat="1" applyFont="1" applyFill="1" applyProtection="1"/>
    <xf numFmtId="3" fontId="0" fillId="0" borderId="0" xfId="0" applyNumberFormat="1" applyProtection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4" fillId="0" borderId="0" xfId="0" applyNumberFormat="1" applyFont="1" applyFill="1" applyBorder="1" applyProtection="1"/>
    <xf numFmtId="49" fontId="4" fillId="0" borderId="0" xfId="0" applyNumberFormat="1" applyFont="1" applyBorder="1"/>
    <xf numFmtId="164" fontId="5" fillId="0" borderId="0" xfId="9" applyNumberFormat="1" applyFont="1" applyFill="1"/>
    <xf numFmtId="1" fontId="4" fillId="0" borderId="0" xfId="0" applyNumberFormat="1" applyFont="1" applyFill="1"/>
    <xf numFmtId="166" fontId="6" fillId="0" borderId="0" xfId="0" applyNumberFormat="1" applyFont="1" applyFill="1" applyBorder="1"/>
    <xf numFmtId="0" fontId="6" fillId="0" borderId="0" xfId="0" applyFont="1" applyFill="1" applyAlignment="1" applyProtection="1">
      <alignment horizontal="left"/>
    </xf>
    <xf numFmtId="167" fontId="4" fillId="0" borderId="0" xfId="0" applyNumberFormat="1" applyFont="1"/>
    <xf numFmtId="4" fontId="4" fillId="0" borderId="0" xfId="0" applyNumberFormat="1" applyFont="1" applyFill="1" applyAlignment="1" applyProtection="1"/>
    <xf numFmtId="0" fontId="0" fillId="0" borderId="0" xfId="0" applyFill="1" applyBorder="1" applyAlignment="1">
      <alignment horizontal="left"/>
    </xf>
    <xf numFmtId="170" fontId="4" fillId="0" borderId="0" xfId="9" applyNumberFormat="1" applyFont="1" applyFill="1" applyBorder="1"/>
    <xf numFmtId="49" fontId="5" fillId="0" borderId="0" xfId="0" applyNumberFormat="1" applyFont="1" applyFill="1" applyBorder="1"/>
    <xf numFmtId="167" fontId="4" fillId="0" borderId="0" xfId="0" applyNumberFormat="1" applyFont="1" applyFill="1" applyBorder="1"/>
    <xf numFmtId="167" fontId="0" fillId="0" borderId="0" xfId="0" applyNumberFormat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2" fontId="4" fillId="0" borderId="0" xfId="0" applyNumberFormat="1" applyFont="1" applyFill="1" applyBorder="1"/>
    <xf numFmtId="164" fontId="0" fillId="0" borderId="0" xfId="0" applyNumberFormat="1" applyBorder="1"/>
    <xf numFmtId="0" fontId="4" fillId="0" borderId="7" xfId="0" applyFont="1" applyBorder="1"/>
    <xf numFmtId="14" fontId="0" fillId="0" borderId="0" xfId="0" applyNumberFormat="1" applyFont="1"/>
    <xf numFmtId="0" fontId="0" fillId="0" borderId="0" xfId="0" applyNumberFormat="1" applyFont="1"/>
    <xf numFmtId="0" fontId="0" fillId="0" borderId="0" xfId="0" applyFont="1" applyBorder="1"/>
    <xf numFmtId="4" fontId="0" fillId="0" borderId="7" xfId="0" applyNumberFormat="1" applyFont="1" applyBorder="1"/>
    <xf numFmtId="178" fontId="0" fillId="0" borderId="0" xfId="0" applyNumberFormat="1" applyFont="1"/>
    <xf numFmtId="0" fontId="0" fillId="0" borderId="7" xfId="0" applyNumberFormat="1" applyBorder="1"/>
    <xf numFmtId="3" fontId="7" fillId="0" borderId="0" xfId="0" applyNumberFormat="1" applyFont="1" applyFill="1" applyAlignment="1"/>
    <xf numFmtId="3" fontId="7" fillId="0" borderId="7" xfId="0" applyNumberFormat="1" applyFont="1" applyFill="1" applyBorder="1" applyAlignment="1"/>
    <xf numFmtId="4" fontId="4" fillId="0" borderId="7" xfId="0" applyNumberFormat="1" applyFont="1" applyBorder="1"/>
    <xf numFmtId="0" fontId="0" fillId="0" borderId="7" xfId="0" applyFill="1" applyBorder="1" applyAlignment="1">
      <alignment horizontal="left"/>
    </xf>
    <xf numFmtId="0" fontId="7" fillId="0" borderId="7" xfId="0" applyFont="1" applyBorder="1"/>
    <xf numFmtId="166" fontId="4" fillId="0" borderId="0" xfId="0" applyNumberFormat="1" applyFont="1" applyFill="1" applyAlignment="1">
      <alignment horizontal="left"/>
    </xf>
    <xf numFmtId="167" fontId="4" fillId="0" borderId="7" xfId="0" applyNumberFormat="1" applyFont="1" applyBorder="1"/>
    <xf numFmtId="170" fontId="4" fillId="0" borderId="7" xfId="9" applyNumberFormat="1" applyFont="1" applyFill="1" applyBorder="1"/>
    <xf numFmtId="0" fontId="4" fillId="0" borderId="7" xfId="0" applyFont="1" applyBorder="1" applyAlignment="1">
      <alignment horizontal="left"/>
    </xf>
    <xf numFmtId="3" fontId="7" fillId="0" borderId="0" xfId="0" applyNumberFormat="1" applyFont="1" applyBorder="1"/>
    <xf numFmtId="0" fontId="0" fillId="0" borderId="7" xfId="0" applyFill="1" applyBorder="1"/>
    <xf numFmtId="164" fontId="4" fillId="0" borderId="7" xfId="9" applyNumberFormat="1" applyFont="1" applyBorder="1"/>
    <xf numFmtId="165" fontId="4" fillId="0" borderId="7" xfId="9" applyNumberFormat="1" applyFont="1" applyBorder="1"/>
    <xf numFmtId="14" fontId="6" fillId="0" borderId="0" xfId="0" applyNumberFormat="1" applyFont="1"/>
    <xf numFmtId="0" fontId="5" fillId="0" borderId="0" xfId="0" applyFont="1" applyAlignment="1">
      <alignment horizontal="left"/>
    </xf>
    <xf numFmtId="2" fontId="7" fillId="0" borderId="0" xfId="0" applyNumberFormat="1" applyFont="1" applyFill="1"/>
    <xf numFmtId="2" fontId="7" fillId="0" borderId="7" xfId="0" applyNumberFormat="1" applyFont="1" applyFill="1" applyBorder="1"/>
    <xf numFmtId="179" fontId="6" fillId="0" borderId="0" xfId="9" applyNumberFormat="1" applyFont="1"/>
    <xf numFmtId="166" fontId="10" fillId="0" borderId="0" xfId="0" applyNumberFormat="1" applyFont="1" applyFill="1" applyProtection="1"/>
    <xf numFmtId="166" fontId="4" fillId="0" borderId="0" xfId="0" applyNumberFormat="1" applyFont="1" applyFill="1" applyProtection="1"/>
    <xf numFmtId="0" fontId="4" fillId="0" borderId="0" xfId="0" applyFont="1" applyAlignment="1">
      <alignment horizontal="right"/>
    </xf>
    <xf numFmtId="166" fontId="7" fillId="0" borderId="0" xfId="0" applyNumberFormat="1" applyFont="1"/>
    <xf numFmtId="164" fontId="6" fillId="0" borderId="0" xfId="9" applyNumberFormat="1" applyFont="1" applyFill="1"/>
    <xf numFmtId="0" fontId="7" fillId="0" borderId="0" xfId="0" applyFont="1" applyFill="1"/>
    <xf numFmtId="166" fontId="0" fillId="0" borderId="6" xfId="0" applyNumberFormat="1" applyBorder="1" applyProtection="1"/>
    <xf numFmtId="166" fontId="6" fillId="0" borderId="7" xfId="0" applyNumberFormat="1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/>
    <xf numFmtId="170" fontId="0" fillId="0" borderId="0" xfId="9" applyNumberFormat="1" applyFont="1" applyFill="1" applyBorder="1"/>
    <xf numFmtId="164" fontId="12" fillId="0" borderId="0" xfId="9" applyNumberFormat="1" applyFont="1" applyFill="1"/>
    <xf numFmtId="3" fontId="0" fillId="0" borderId="0" xfId="0" applyNumberFormat="1" applyFont="1" applyFill="1"/>
    <xf numFmtId="3" fontId="0" fillId="0" borderId="7" xfId="0" applyNumberFormat="1" applyFont="1" applyFill="1" applyBorder="1"/>
    <xf numFmtId="166" fontId="13" fillId="0" borderId="0" xfId="0" applyNumberFormat="1" applyFont="1" applyFill="1"/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0" xfId="0" applyNumberFormat="1" applyFont="1" applyFill="1" applyAlignment="1"/>
    <xf numFmtId="0" fontId="0" fillId="0" borderId="0" xfId="0" applyAlignment="1"/>
    <xf numFmtId="0" fontId="0" fillId="0" borderId="7" xfId="0" applyBorder="1" applyAlignment="1"/>
    <xf numFmtId="166" fontId="7" fillId="0" borderId="0" xfId="0" applyNumberFormat="1" applyFont="1" applyFill="1" applyBorder="1"/>
    <xf numFmtId="16" fontId="0" fillId="0" borderId="0" xfId="0" applyNumberFormat="1"/>
    <xf numFmtId="3" fontId="12" fillId="0" borderId="0" xfId="0" applyNumberFormat="1" applyFont="1" applyFill="1"/>
    <xf numFmtId="3" fontId="12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9" applyNumberFormat="1" applyFont="1" applyFill="1" applyBorder="1"/>
    <xf numFmtId="166" fontId="13" fillId="0" borderId="0" xfId="0" applyNumberFormat="1" applyFont="1" applyFill="1" applyBorder="1"/>
    <xf numFmtId="167" fontId="12" fillId="0" borderId="0" xfId="0" applyNumberFormat="1" applyFont="1" applyFill="1"/>
    <xf numFmtId="3" fontId="7" fillId="0" borderId="6" xfId="0" applyNumberFormat="1" applyFont="1" applyFill="1" applyBorder="1"/>
    <xf numFmtId="167" fontId="7" fillId="0" borderId="6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NumberFormat="1" applyBorder="1"/>
    <xf numFmtId="3" fontId="7" fillId="0" borderId="0" xfId="0" applyNumberFormat="1" applyFont="1" applyFill="1" applyBorder="1" applyAlignment="1"/>
    <xf numFmtId="167" fontId="4" fillId="0" borderId="0" xfId="0" applyNumberFormat="1" applyFont="1" applyBorder="1"/>
    <xf numFmtId="4" fontId="0" fillId="0" borderId="0" xfId="0" applyNumberFormat="1" applyFont="1" applyBorder="1"/>
    <xf numFmtId="4" fontId="4" fillId="0" borderId="0" xfId="0" applyNumberFormat="1" applyFont="1" applyBorder="1"/>
    <xf numFmtId="0" fontId="4" fillId="0" borderId="0" xfId="0" quotePrefix="1" applyFont="1" applyBorder="1"/>
    <xf numFmtId="4" fontId="0" fillId="0" borderId="0" xfId="0" applyNumberFormat="1" applyProtection="1"/>
    <xf numFmtId="3" fontId="12" fillId="0" borderId="0" xfId="0" applyNumberFormat="1" applyFont="1" applyFill="1" applyAlignment="1">
      <alignment horizontal="left"/>
    </xf>
    <xf numFmtId="0" fontId="12" fillId="0" borderId="0" xfId="0" applyFont="1"/>
    <xf numFmtId="0" fontId="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 applyFill="1"/>
    <xf numFmtId="166" fontId="7" fillId="0" borderId="0" xfId="0" applyNumberFormat="1" applyFont="1" applyFill="1"/>
    <xf numFmtId="166" fontId="7" fillId="0" borderId="0" xfId="0" applyNumberFormat="1" applyFont="1" applyBorder="1"/>
    <xf numFmtId="14" fontId="4" fillId="0" borderId="0" xfId="0" applyNumberFormat="1" applyFont="1" applyAlignment="1">
      <alignment horizontal="right"/>
    </xf>
    <xf numFmtId="0" fontId="0" fillId="0" borderId="0" xfId="0" applyFill="1" applyAlignment="1"/>
    <xf numFmtId="49" fontId="0" fillId="0" borderId="0" xfId="0" applyNumberFormat="1" applyFill="1" applyAlignment="1"/>
    <xf numFmtId="0" fontId="0" fillId="0" borderId="0" xfId="0" applyNumberFormat="1" applyAlignment="1">
      <alignment horizontal="left"/>
    </xf>
    <xf numFmtId="180" fontId="0" fillId="0" borderId="0" xfId="0" quotePrefix="1" applyNumberFormat="1" applyAlignment="1">
      <alignment horizontal="left"/>
    </xf>
    <xf numFmtId="3" fontId="14" fillId="0" borderId="0" xfId="0" applyNumberFormat="1" applyFont="1" applyFill="1"/>
    <xf numFmtId="164" fontId="7" fillId="0" borderId="0" xfId="0" applyNumberFormat="1" applyFont="1" applyFill="1" applyBorder="1"/>
    <xf numFmtId="3" fontId="12" fillId="0" borderId="7" xfId="0" applyNumberFormat="1" applyFont="1" applyFill="1" applyBorder="1"/>
    <xf numFmtId="164" fontId="12" fillId="0" borderId="7" xfId="9" applyNumberFormat="1" applyFont="1" applyFill="1" applyBorder="1"/>
    <xf numFmtId="1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181" fontId="4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178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166" fontId="0" fillId="0" borderId="0" xfId="0" applyNumberFormat="1" applyBorder="1" applyAlignment="1">
      <alignment horizontal="left"/>
    </xf>
    <xf numFmtId="171" fontId="0" fillId="0" borderId="0" xfId="0" applyNumberFormat="1" applyFont="1"/>
    <xf numFmtId="171" fontId="4" fillId="0" borderId="0" xfId="0" applyNumberFormat="1" applyFont="1"/>
    <xf numFmtId="171" fontId="0" fillId="0" borderId="0" xfId="0" applyNumberFormat="1" applyBorder="1"/>
    <xf numFmtId="171" fontId="0" fillId="0" borderId="0" xfId="0" applyNumberFormat="1" applyFont="1" applyFill="1" applyAlignment="1"/>
    <xf numFmtId="0" fontId="14" fillId="0" borderId="0" xfId="0" quotePrefix="1" applyFont="1"/>
    <xf numFmtId="164" fontId="14" fillId="0" borderId="0" xfId="0" quotePrefix="1" applyNumberFormat="1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Border="1"/>
    <xf numFmtId="167" fontId="4" fillId="0" borderId="0" xfId="0" applyNumberFormat="1" applyFont="1" applyFill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7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7" xfId="0" applyFont="1" applyFill="1" applyBorder="1"/>
    <xf numFmtId="0" fontId="0" fillId="0" borderId="7" xfId="0" applyBorder="1" applyProtection="1">
      <protection locked="0"/>
    </xf>
    <xf numFmtId="166" fontId="4" fillId="0" borderId="0" xfId="0" applyNumberFormat="1" applyFont="1" applyFill="1" applyAlignment="1">
      <alignment horizontal="center"/>
    </xf>
    <xf numFmtId="4" fontId="0" fillId="0" borderId="0" xfId="0" applyNumberFormat="1" applyAlignment="1" applyProtection="1">
      <alignment horizontal="center"/>
    </xf>
    <xf numFmtId="4" fontId="4" fillId="0" borderId="0" xfId="0" applyNumberFormat="1" applyFont="1" applyFill="1" applyAlignment="1" applyProtection="1">
      <alignment horizontal="center"/>
    </xf>
    <xf numFmtId="164" fontId="6" fillId="0" borderId="6" xfId="0" applyNumberFormat="1" applyFont="1" applyBorder="1"/>
    <xf numFmtId="3" fontId="15" fillId="0" borderId="0" xfId="0" applyNumberFormat="1" applyFont="1" applyFill="1" applyAlignment="1"/>
    <xf numFmtId="166" fontId="4" fillId="0" borderId="7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left"/>
    </xf>
    <xf numFmtId="165" fontId="4" fillId="0" borderId="0" xfId="9" applyNumberFormat="1" applyFont="1" applyFill="1"/>
    <xf numFmtId="0" fontId="0" fillId="0" borderId="16" xfId="0" applyBorder="1"/>
    <xf numFmtId="14" fontId="4" fillId="0" borderId="0" xfId="0" applyNumberFormat="1" applyFont="1" applyAlignment="1">
      <alignment horizontal="center"/>
    </xf>
    <xf numFmtId="0" fontId="0" fillId="0" borderId="17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3" borderId="0" xfId="0" applyFill="1"/>
    <xf numFmtId="14" fontId="5" fillId="3" borderId="0" xfId="0" applyNumberFormat="1" applyFont="1" applyFill="1"/>
    <xf numFmtId="43" fontId="0" fillId="0" borderId="0" xfId="1" applyFont="1"/>
    <xf numFmtId="169" fontId="6" fillId="0" borderId="0" xfId="0" applyNumberFormat="1" applyFont="1" applyFill="1"/>
    <xf numFmtId="0" fontId="14" fillId="0" borderId="0" xfId="0" applyFont="1" applyFill="1"/>
    <xf numFmtId="0" fontId="0" fillId="0" borderId="16" xfId="0" applyFill="1" applyBorder="1"/>
    <xf numFmtId="0" fontId="0" fillId="0" borderId="0" xfId="0" quotePrefix="1" applyFill="1" applyAlignment="1">
      <alignment horizontal="center"/>
    </xf>
    <xf numFmtId="0" fontId="0" fillId="0" borderId="7" xfId="0" applyFont="1" applyBorder="1"/>
    <xf numFmtId="37" fontId="0" fillId="0" borderId="0" xfId="1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Font="1"/>
    <xf numFmtId="3" fontId="0" fillId="0" borderId="0" xfId="0" applyNumberFormat="1" applyFont="1"/>
    <xf numFmtId="164" fontId="6" fillId="3" borderId="0" xfId="9" applyNumberFormat="1" applyFont="1" applyFill="1"/>
    <xf numFmtId="6" fontId="0" fillId="0" borderId="0" xfId="0" applyNumberFormat="1"/>
    <xf numFmtId="166" fontId="4" fillId="0" borderId="0" xfId="0" applyNumberFormat="1" applyFont="1" applyFill="1" applyBorder="1" applyAlignment="1">
      <alignment horizontal="center"/>
    </xf>
    <xf numFmtId="167" fontId="7" fillId="0" borderId="7" xfId="0" applyNumberFormat="1" applyFont="1" applyFill="1" applyBorder="1"/>
    <xf numFmtId="0" fontId="0" fillId="0" borderId="6" xfId="0" applyFill="1" applyBorder="1" applyAlignment="1">
      <alignment horizontal="left"/>
    </xf>
    <xf numFmtId="0" fontId="0" fillId="0" borderId="7" xfId="0" applyBorder="1" applyAlignment="1">
      <alignment horizontal="right"/>
    </xf>
    <xf numFmtId="164" fontId="15" fillId="0" borderId="0" xfId="0" applyNumberFormat="1" applyFont="1" applyFill="1" applyBorder="1"/>
    <xf numFmtId="164" fontId="15" fillId="0" borderId="7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2" fontId="0" fillId="0" borderId="0" xfId="0" applyNumberFormat="1"/>
    <xf numFmtId="2" fontId="12" fillId="0" borderId="0" xfId="0" applyNumberFormat="1" applyFont="1" applyFill="1"/>
    <xf numFmtId="2" fontId="7" fillId="0" borderId="0" xfId="0" applyNumberFormat="1" applyFont="1"/>
    <xf numFmtId="14" fontId="12" fillId="0" borderId="0" xfId="0" applyNumberFormat="1" applyFont="1" applyFill="1" applyProtection="1"/>
    <xf numFmtId="14" fontId="12" fillId="0" borderId="0" xfId="0" applyNumberFormat="1" applyFont="1" applyFill="1" applyProtection="1">
      <protection locked="0"/>
    </xf>
    <xf numFmtId="3" fontId="5" fillId="0" borderId="0" xfId="0" applyNumberFormat="1" applyFont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82" fontId="0" fillId="0" borderId="0" xfId="1" applyNumberFormat="1" applyFont="1"/>
    <xf numFmtId="164" fontId="0" fillId="0" borderId="6" xfId="0" applyNumberFormat="1" applyBorder="1"/>
    <xf numFmtId="9" fontId="0" fillId="0" borderId="6" xfId="0" applyNumberFormat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8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85725</xdr:rowOff>
    </xdr:from>
    <xdr:ext cx="223622" cy="2733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12EECE-2859-4A07-98C9-3E594815E6F3}"/>
            </a:ext>
          </a:extLst>
        </xdr:cNvPr>
        <xdr:cNvSpPr txBox="1"/>
      </xdr:nvSpPr>
      <xdr:spPr>
        <a:xfrm>
          <a:off x="8193405" y="4139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s%20from%202019/2019%20Residential%20Memo%20Exhibit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2018%20Residential%20Indications%20-%20Edi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Residential%20Indica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ork%20Files/Rate%20changes%20to%201988%20Version/2020%20Commercial%20Indications%20-%20updated%20OLF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ork%20Files/2020%20Commercial%20Indications%20-%20updated%20OLF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Commercial%20Indication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Data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>
        <row r="1">
          <cell r="K1" t="str">
            <v>Exhibit 1</v>
          </cell>
        </row>
        <row r="5">
          <cell r="A5" t="str">
            <v>By Method for Projecting Hurricane Loss &amp; LAE</v>
          </cell>
        </row>
      </sheetData>
      <sheetData sheetId="3">
        <row r="1">
          <cell r="J1" t="str">
            <v>Exhibit 2</v>
          </cell>
        </row>
        <row r="2">
          <cell r="J2" t="str">
            <v>Sheet 1</v>
          </cell>
        </row>
        <row r="4">
          <cell r="A4" t="str">
            <v>Projected Ultimate Non-Hurricane Loss &amp; LAE Ratio</v>
          </cell>
        </row>
        <row r="5">
          <cell r="A5" t="str">
            <v>All Territory Weighted Average</v>
          </cell>
        </row>
      </sheetData>
      <sheetData sheetId="4">
        <row r="1">
          <cell r="J1" t="str">
            <v>Exhibit 2</v>
          </cell>
        </row>
        <row r="2">
          <cell r="J2" t="str">
            <v>Sheet 2a</v>
          </cell>
        </row>
        <row r="4">
          <cell r="A4" t="str">
            <v>Projected Ultimate Non-Hurricane Loss &amp; LAE Ratio based on TWIA experience</v>
          </cell>
        </row>
        <row r="5">
          <cell r="A5" t="str">
            <v>Tier 1 -- Territory 8 (Galveston County)</v>
          </cell>
        </row>
      </sheetData>
      <sheetData sheetId="5">
        <row r="1">
          <cell r="J1" t="str">
            <v>Exhibit 2</v>
          </cell>
        </row>
        <row r="2">
          <cell r="J2" t="str">
            <v>Sheet 2b</v>
          </cell>
        </row>
        <row r="4">
          <cell r="A4" t="str">
            <v>Projected Ultimate Non-Hurricane Loss &amp; LAE Ratio based on TWIA experience</v>
          </cell>
        </row>
        <row r="5">
          <cell r="A5" t="str">
            <v>Tier 1 -- Territory 9 (Nueces County)</v>
          </cell>
        </row>
      </sheetData>
      <sheetData sheetId="6">
        <row r="1">
          <cell r="J1" t="str">
            <v>Exhibit 2</v>
          </cell>
        </row>
        <row r="2">
          <cell r="J2" t="str">
            <v>Sheet 2c</v>
          </cell>
        </row>
        <row r="5">
          <cell r="A5" t="str">
            <v>Tier 1 -- Territory 10 (Other Tier 1)</v>
          </cell>
        </row>
      </sheetData>
      <sheetData sheetId="7">
        <row r="1">
          <cell r="J1" t="str">
            <v>Exhibit 2</v>
          </cell>
        </row>
        <row r="2">
          <cell r="J2" t="str">
            <v>Sheet 2d</v>
          </cell>
        </row>
        <row r="4">
          <cell r="A4" t="str">
            <v>Projected Ultimate Non-Hurricane Loss &amp; LAE Ratio based on TWIA experience</v>
          </cell>
        </row>
        <row r="5">
          <cell r="A5" t="str">
            <v>Tier 2 -- (Territories 1)</v>
          </cell>
        </row>
      </sheetData>
      <sheetData sheetId="8">
        <row r="1">
          <cell r="J1" t="str">
            <v>Exhibit 2</v>
          </cell>
        </row>
        <row r="2">
          <cell r="J2" t="str">
            <v>Sheet 3a</v>
          </cell>
        </row>
        <row r="4">
          <cell r="A4" t="str">
            <v>Projected Ultimate Non-Hurricane Loss</v>
          </cell>
        </row>
        <row r="5">
          <cell r="A5" t="str">
            <v>Tier 1 -- Territory 8 (Galveston County)</v>
          </cell>
        </row>
      </sheetData>
      <sheetData sheetId="9">
        <row r="1">
          <cell r="J1" t="str">
            <v>Exhibit 2</v>
          </cell>
        </row>
        <row r="2">
          <cell r="J2" t="str">
            <v>Sheet 3b</v>
          </cell>
        </row>
        <row r="4">
          <cell r="A4" t="str">
            <v>Projected Ultimate Non-Hurricane Loss</v>
          </cell>
        </row>
        <row r="5">
          <cell r="A5" t="str">
            <v>Tier 1 -- Territory 9 (Nueces County)</v>
          </cell>
        </row>
      </sheetData>
      <sheetData sheetId="10">
        <row r="1">
          <cell r="J1" t="str">
            <v>Exhibit 2</v>
          </cell>
        </row>
        <row r="2">
          <cell r="J2" t="str">
            <v>Sheet 3c</v>
          </cell>
        </row>
        <row r="4">
          <cell r="A4" t="str">
            <v>Projected Ultimate Non-Hurricane Loss</v>
          </cell>
        </row>
        <row r="5">
          <cell r="A5" t="str">
            <v>Tier 1 -- Territory 10 (Other Tier 1)</v>
          </cell>
        </row>
      </sheetData>
      <sheetData sheetId="11">
        <row r="1">
          <cell r="J1" t="str">
            <v>Exhibit 2</v>
          </cell>
        </row>
        <row r="2">
          <cell r="J2" t="str">
            <v>Sheet 3d</v>
          </cell>
        </row>
        <row r="4">
          <cell r="A4" t="str">
            <v>Projected Ultimate Non-Hurricane Loss</v>
          </cell>
        </row>
        <row r="5">
          <cell r="A5" t="str">
            <v>Tier 2 -- (Territories 1 )</v>
          </cell>
        </row>
      </sheetData>
      <sheetData sheetId="12">
        <row r="1">
          <cell r="J1" t="str">
            <v>Exhibit 2</v>
          </cell>
        </row>
        <row r="2">
          <cell r="J2" t="str">
            <v>Sheet 4a</v>
          </cell>
        </row>
        <row r="5">
          <cell r="A5" t="str">
            <v>Tier 1 -- Territory 8 (Galveston County)</v>
          </cell>
        </row>
      </sheetData>
      <sheetData sheetId="13">
        <row r="1">
          <cell r="J1" t="str">
            <v>Exhibit 2</v>
          </cell>
        </row>
        <row r="2">
          <cell r="J2" t="str">
            <v>Sheet 4b</v>
          </cell>
        </row>
        <row r="5">
          <cell r="A5" t="str">
            <v>Tier 1 -- Territory 9 (Nueces County)</v>
          </cell>
        </row>
      </sheetData>
      <sheetData sheetId="14">
        <row r="1">
          <cell r="J1" t="str">
            <v>Exhibit 2</v>
          </cell>
        </row>
        <row r="2">
          <cell r="J2" t="str">
            <v>Sheet 4c</v>
          </cell>
        </row>
        <row r="5">
          <cell r="A5" t="str">
            <v>Tier 1 -- Territory 10 (Other Tier 1)</v>
          </cell>
        </row>
      </sheetData>
      <sheetData sheetId="15">
        <row r="1">
          <cell r="J1" t="str">
            <v>Exhibit 2</v>
          </cell>
        </row>
        <row r="2">
          <cell r="J2" t="str">
            <v>Sheet 4d</v>
          </cell>
        </row>
        <row r="5">
          <cell r="A5" t="str">
            <v>Tier 2 -- (Territories 1)</v>
          </cell>
        </row>
      </sheetData>
      <sheetData sheetId="16">
        <row r="1">
          <cell r="L1" t="str">
            <v>Exhibit 2</v>
          </cell>
        </row>
        <row r="2">
          <cell r="L2" t="str">
            <v>Sheet 5</v>
          </cell>
        </row>
        <row r="4">
          <cell r="A4" t="str">
            <v>Calculation of Net Trend Factors</v>
          </cell>
        </row>
      </sheetData>
      <sheetData sheetId="17">
        <row r="1">
          <cell r="L1" t="str">
            <v>Exhibit 3</v>
          </cell>
        </row>
        <row r="2">
          <cell r="L2" t="str">
            <v>Sheet 1</v>
          </cell>
        </row>
        <row r="4">
          <cell r="A4" t="str">
            <v>Paid Loss Development Factors</v>
          </cell>
        </row>
        <row r="5">
          <cell r="A5" t="str">
            <v>Statewide Industry Extended Coverage Dwelling Paid Loss</v>
          </cell>
        </row>
      </sheetData>
      <sheetData sheetId="18">
        <row r="1">
          <cell r="L1" t="str">
            <v>Exhibit 3</v>
          </cell>
        </row>
        <row r="2">
          <cell r="L2" t="str">
            <v>Sheet 1</v>
          </cell>
        </row>
        <row r="4">
          <cell r="A4" t="str">
            <v>Incurred Loss Development Factors</v>
          </cell>
        </row>
        <row r="5">
          <cell r="A5" t="str">
            <v>Statewide Industry Extended Coverage Dwelling Paid Loss</v>
          </cell>
        </row>
      </sheetData>
      <sheetData sheetId="19">
        <row r="4">
          <cell r="A4" t="str">
            <v>Premium Trend Analysis</v>
          </cell>
        </row>
        <row r="5">
          <cell r="A5" t="str">
            <v>TWIA Residential Earned Premium at Present Rates</v>
          </cell>
        </row>
      </sheetData>
      <sheetData sheetId="20">
        <row r="1">
          <cell r="L1" t="str">
            <v>Exhibit 3</v>
          </cell>
        </row>
        <row r="2">
          <cell r="L2" t="str">
            <v>Sheet 3a</v>
          </cell>
        </row>
        <row r="4">
          <cell r="A4" t="str">
            <v>Loss Trend Analysis</v>
          </cell>
        </row>
        <row r="5">
          <cell r="A5" t="str">
            <v>Summary of Indices and Calculation of Prospective Loss Costs</v>
          </cell>
        </row>
      </sheetData>
      <sheetData sheetId="21">
        <row r="1">
          <cell r="L1" t="str">
            <v>Exhibit 3</v>
          </cell>
        </row>
        <row r="2">
          <cell r="L2" t="str">
            <v>Sheet 3b</v>
          </cell>
        </row>
        <row r="4">
          <cell r="A4" t="str">
            <v>Loss Trend Analysis</v>
          </cell>
        </row>
        <row r="5">
          <cell r="A5" t="str">
            <v>Boeckh Residential Construction Index Trend (Statewide)</v>
          </cell>
        </row>
      </sheetData>
      <sheetData sheetId="22">
        <row r="1">
          <cell r="L1" t="str">
            <v>Exhibit 3</v>
          </cell>
        </row>
        <row r="2">
          <cell r="L2" t="str">
            <v>Sheet 3c</v>
          </cell>
        </row>
        <row r="4">
          <cell r="A4" t="str">
            <v>Loss Trend Analysis</v>
          </cell>
        </row>
        <row r="5">
          <cell r="A5" t="str">
            <v>Boeckh Residential Construction Index Trend (Coastal)</v>
          </cell>
        </row>
      </sheetData>
      <sheetData sheetId="23">
        <row r="1">
          <cell r="L1" t="str">
            <v>Exhibit 3</v>
          </cell>
        </row>
        <row r="2">
          <cell r="L2" t="str">
            <v>Sheet 3d</v>
          </cell>
        </row>
        <row r="4">
          <cell r="A4" t="str">
            <v>Loss Trend Analysis</v>
          </cell>
        </row>
        <row r="5">
          <cell r="A5" t="str">
            <v>Modified Consumer Price Index - External Trend</v>
          </cell>
        </row>
      </sheetData>
      <sheetData sheetId="24">
        <row r="1">
          <cell r="J1" t="str">
            <v>Exhibit 4</v>
          </cell>
        </row>
        <row r="2">
          <cell r="J2" t="str">
            <v>Sheet 1</v>
          </cell>
        </row>
        <row r="4">
          <cell r="A4" t="str">
            <v>Development of LAE factor Using TWIA Commercial + Residential Experience</v>
          </cell>
        </row>
      </sheetData>
      <sheetData sheetId="25">
        <row r="1">
          <cell r="K1" t="str">
            <v>Exhibit 4</v>
          </cell>
        </row>
        <row r="2">
          <cell r="K2" t="str">
            <v>Sheet 2</v>
          </cell>
        </row>
        <row r="4">
          <cell r="A4" t="str">
            <v>Ultimate Loss (TWIA All Lines)</v>
          </cell>
        </row>
      </sheetData>
      <sheetData sheetId="26">
        <row r="1">
          <cell r="K1" t="str">
            <v>Exhibit 4</v>
          </cell>
        </row>
        <row r="2">
          <cell r="K2" t="str">
            <v>Sheet 3</v>
          </cell>
        </row>
        <row r="4">
          <cell r="A4" t="str">
            <v>Incurred Loss Development Factors</v>
          </cell>
        </row>
        <row r="5">
          <cell r="A5" t="str">
            <v>TWIA Schedule P Incurred Loss (Including IBNR)</v>
          </cell>
        </row>
      </sheetData>
      <sheetData sheetId="27">
        <row r="1">
          <cell r="J1" t="str">
            <v>Exhibit 4</v>
          </cell>
        </row>
        <row r="2">
          <cell r="J2" t="str">
            <v>Sheet 4</v>
          </cell>
        </row>
        <row r="4">
          <cell r="A4" t="str">
            <v>Ultimate LAE (TWIA All Lines)</v>
          </cell>
        </row>
      </sheetData>
      <sheetData sheetId="28">
        <row r="1">
          <cell r="K1" t="str">
            <v>Exhibit 4</v>
          </cell>
        </row>
        <row r="2">
          <cell r="K2" t="str">
            <v>Sheet 5</v>
          </cell>
        </row>
        <row r="4">
          <cell r="A4" t="str">
            <v>Incurred ALAE Development Factors</v>
          </cell>
        </row>
        <row r="5">
          <cell r="A5" t="str">
            <v>TWIA Schedule P Incurred ALAE (Including IBNR)</v>
          </cell>
        </row>
      </sheetData>
      <sheetData sheetId="29">
        <row r="1">
          <cell r="H1" t="str">
            <v>Exhibit 5</v>
          </cell>
        </row>
        <row r="4">
          <cell r="A4" t="str">
            <v>Summary of Indicated Hurricane Loss &amp; LAE Ratios</v>
          </cell>
        </row>
      </sheetData>
      <sheetData sheetId="30">
        <row r="1">
          <cell r="K1" t="str">
            <v>Exhibit 6</v>
          </cell>
        </row>
        <row r="2">
          <cell r="K2" t="str">
            <v>Sheet 1</v>
          </cell>
        </row>
        <row r="4">
          <cell r="A4" t="str">
            <v>Industry Experience -- Residential Extended Coverage</v>
          </cell>
        </row>
      </sheetData>
      <sheetData sheetId="31">
        <row r="1">
          <cell r="J1" t="str">
            <v>Exhibit 6</v>
          </cell>
        </row>
        <row r="2">
          <cell r="J2" t="str">
            <v>Sheet 2</v>
          </cell>
        </row>
        <row r="4">
          <cell r="A4" t="str">
            <v>Industry Experience -- Residential Extended Coverage</v>
          </cell>
        </row>
      </sheetData>
      <sheetData sheetId="32">
        <row r="4">
          <cell r="A4" t="str">
            <v>Industry Experience -- Residential Extended Coverage</v>
          </cell>
        </row>
      </sheetData>
      <sheetData sheetId="33">
        <row r="1">
          <cell r="I1" t="str">
            <v>Exhibit 6</v>
          </cell>
        </row>
        <row r="2">
          <cell r="I2" t="str">
            <v>Sheet 4</v>
          </cell>
        </row>
        <row r="4">
          <cell r="A4" t="str">
            <v>Industry Experience -- Residential Extended Coverage</v>
          </cell>
        </row>
        <row r="5">
          <cell r="A5" t="str">
            <v>Tier 1 -- Territory 8 (Galveston County)</v>
          </cell>
        </row>
      </sheetData>
      <sheetData sheetId="34">
        <row r="1">
          <cell r="I1" t="str">
            <v>Exhibit 6</v>
          </cell>
        </row>
        <row r="2">
          <cell r="I2" t="str">
            <v>Sheet 5</v>
          </cell>
        </row>
        <row r="4">
          <cell r="A4" t="str">
            <v>Industry Experience -- Residential Extended Coverage</v>
          </cell>
        </row>
        <row r="5">
          <cell r="A5" t="str">
            <v>Tier 1 -- Territory 9 (Nueces County)</v>
          </cell>
        </row>
      </sheetData>
      <sheetData sheetId="35">
        <row r="1">
          <cell r="I1" t="str">
            <v>Exhibit 6</v>
          </cell>
        </row>
        <row r="2">
          <cell r="I2" t="str">
            <v>Sheet 6</v>
          </cell>
        </row>
        <row r="5">
          <cell r="A5" t="str">
            <v>Tier 1 -- Territory 10 (Other Tier 1)</v>
          </cell>
        </row>
      </sheetData>
      <sheetData sheetId="36">
        <row r="1">
          <cell r="I1" t="str">
            <v>Exhibit 6</v>
          </cell>
        </row>
        <row r="2">
          <cell r="I2" t="str">
            <v>Sheet 7</v>
          </cell>
        </row>
        <row r="4">
          <cell r="A4" t="str">
            <v>Industry Experience -- Residential Extended Coverage</v>
          </cell>
        </row>
        <row r="5">
          <cell r="A5" t="str">
            <v>Tier 2 -- (Territories 1 and 11)</v>
          </cell>
        </row>
      </sheetData>
      <sheetData sheetId="37">
        <row r="1">
          <cell r="K1" t="str">
            <v>Exhibit 7</v>
          </cell>
        </row>
        <row r="2">
          <cell r="K2" t="str">
            <v>Sheet 1</v>
          </cell>
        </row>
        <row r="4">
          <cell r="A4" t="str">
            <v>Hurricane Loss Ratio -- AIR Model</v>
          </cell>
        </row>
      </sheetData>
      <sheetData sheetId="38">
        <row r="1">
          <cell r="K1" t="str">
            <v>Exhibit 7</v>
          </cell>
        </row>
        <row r="2">
          <cell r="K2" t="str">
            <v>Sheet 2</v>
          </cell>
        </row>
        <row r="4">
          <cell r="A4" t="str">
            <v>AIR Simulated Hurricane Results</v>
          </cell>
        </row>
      </sheetData>
      <sheetData sheetId="39">
        <row r="1">
          <cell r="K1" t="str">
            <v>Exhibit 8</v>
          </cell>
        </row>
        <row r="2">
          <cell r="K2" t="str">
            <v>Sheet 1</v>
          </cell>
        </row>
        <row r="4">
          <cell r="A4" t="str">
            <v>Hurricane Loss Ratio -- RMS Model</v>
          </cell>
        </row>
      </sheetData>
      <sheetData sheetId="40">
        <row r="1">
          <cell r="K1" t="str">
            <v>Exhibit 8</v>
          </cell>
        </row>
        <row r="2">
          <cell r="K2" t="str">
            <v>Sheet 2</v>
          </cell>
        </row>
        <row r="4">
          <cell r="A4" t="str">
            <v>RMS Simulated Hurricane Results</v>
          </cell>
        </row>
      </sheetData>
      <sheetData sheetId="41">
        <row r="1">
          <cell r="J1" t="str">
            <v>Exhibit 9</v>
          </cell>
        </row>
      </sheetData>
      <sheetData sheetId="42">
        <row r="1">
          <cell r="J1" t="str">
            <v>Exhibit 10</v>
          </cell>
        </row>
        <row r="2">
          <cell r="J2" t="str">
            <v>Sheet 1a</v>
          </cell>
        </row>
        <row r="4">
          <cell r="A4" t="str">
            <v>Calculation of TWIA Earned Premium at Present Rate Level</v>
          </cell>
        </row>
        <row r="5">
          <cell r="A5" t="str">
            <v>Tier 1 -- Territory 8 (Galveston County)</v>
          </cell>
        </row>
      </sheetData>
      <sheetData sheetId="43">
        <row r="1">
          <cell r="J1" t="str">
            <v>Exhibit 10</v>
          </cell>
        </row>
        <row r="2">
          <cell r="J2" t="str">
            <v>Sheet 1b</v>
          </cell>
        </row>
        <row r="4">
          <cell r="A4" t="str">
            <v>Calculation of TWIA Earned Premium at Present Rate Level</v>
          </cell>
        </row>
        <row r="5">
          <cell r="A5" t="str">
            <v>Tier 1 -- Territory 9 (Nueces County)</v>
          </cell>
        </row>
      </sheetData>
      <sheetData sheetId="44">
        <row r="1">
          <cell r="J1" t="str">
            <v>Exhibit 10</v>
          </cell>
        </row>
        <row r="2">
          <cell r="J2" t="str">
            <v>Sheet 1c</v>
          </cell>
        </row>
        <row r="4">
          <cell r="A4" t="str">
            <v>Calculation of TWIA Earned Premium at Present Rate Level</v>
          </cell>
        </row>
        <row r="5">
          <cell r="A5" t="str">
            <v>Tier 1 -- Territory 10 (Other Tier 1)</v>
          </cell>
        </row>
      </sheetData>
      <sheetData sheetId="45">
        <row r="1">
          <cell r="J1" t="str">
            <v>Exhibit 10</v>
          </cell>
        </row>
        <row r="2">
          <cell r="J2" t="str">
            <v>Sheet 1d</v>
          </cell>
        </row>
        <row r="4">
          <cell r="A4" t="str">
            <v>Calculation of TWIA Earned Premium at Present Rate Level</v>
          </cell>
        </row>
        <row r="5">
          <cell r="A5" t="str">
            <v>Tier 2 -- (Territories 1 and 11)</v>
          </cell>
        </row>
      </sheetData>
      <sheetData sheetId="46">
        <row r="1">
          <cell r="J1" t="str">
            <v>Exhibit 10</v>
          </cell>
        </row>
        <row r="2">
          <cell r="J2" t="str">
            <v>Sheet 2</v>
          </cell>
        </row>
        <row r="4">
          <cell r="A4" t="str">
            <v>Calculation of TWIA Earned Premium at Present Rate Level</v>
          </cell>
        </row>
      </sheetData>
      <sheetData sheetId="47">
        <row r="1">
          <cell r="J1" t="str">
            <v>Exhibit 11</v>
          </cell>
        </row>
        <row r="2">
          <cell r="J2" t="str">
            <v>Sheet 1</v>
          </cell>
        </row>
        <row r="4">
          <cell r="A4" t="str">
            <v>Fixed Expenses and Variable Permissible Loss &amp; LAE Ratios</v>
          </cell>
        </row>
      </sheetData>
      <sheetData sheetId="48">
        <row r="1">
          <cell r="H1" t="str">
            <v>Exhibit 11</v>
          </cell>
        </row>
        <row r="2">
          <cell r="H2" t="str">
            <v>Sheet 2</v>
          </cell>
        </row>
        <row r="4">
          <cell r="A4" t="str">
            <v>Development of Reinsurer Expense</v>
          </cell>
        </row>
        <row r="5">
          <cell r="A5" t="str">
            <v>Using Average of AIR and  RMS Hurricane Models</v>
          </cell>
        </row>
      </sheetData>
      <sheetData sheetId="49">
        <row r="1">
          <cell r="J1" t="str">
            <v>Exhibit 12</v>
          </cell>
        </row>
        <row r="4">
          <cell r="A4" t="str">
            <v>Reconciliation of Premium Data to Annual Statement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3AS loss Dev"/>
      <sheetName val="4.2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  <sheetName val="Cover Page"/>
      <sheetName val="Table of Contents"/>
      <sheetName val="ldf 3.1a"/>
      <sheetName val="ldf 3.1b"/>
      <sheetName val="3.2 premium tren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J1" t="str">
            <v>Exhibit 11</v>
          </cell>
        </row>
        <row r="2">
          <cell r="J2" t="str">
            <v>Sheet 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</sheetNames>
    <sheetDataSet>
      <sheetData sheetId="0"/>
      <sheetData sheetId="1"/>
      <sheetData sheetId="2">
        <row r="1">
          <cell r="E1">
            <v>43738</v>
          </cell>
        </row>
        <row r="2">
          <cell r="E2">
            <v>43830</v>
          </cell>
        </row>
        <row r="23">
          <cell r="O23">
            <v>80844468</v>
          </cell>
          <cell r="P23">
            <v>43977111</v>
          </cell>
          <cell r="Q23">
            <v>116551972</v>
          </cell>
          <cell r="R23">
            <v>2218368</v>
          </cell>
        </row>
        <row r="24">
          <cell r="O24">
            <v>88599807</v>
          </cell>
          <cell r="P24">
            <v>49048919</v>
          </cell>
          <cell r="Q24">
            <v>131679293</v>
          </cell>
          <cell r="R24">
            <v>2562327</v>
          </cell>
        </row>
        <row r="25">
          <cell r="O25">
            <v>92287441</v>
          </cell>
          <cell r="P25">
            <v>50547302</v>
          </cell>
          <cell r="Q25">
            <v>140621661</v>
          </cell>
          <cell r="R25">
            <v>2825372</v>
          </cell>
        </row>
        <row r="26">
          <cell r="O26">
            <v>98605959</v>
          </cell>
          <cell r="P26">
            <v>53841760</v>
          </cell>
          <cell r="Q26">
            <v>160031435</v>
          </cell>
          <cell r="R26">
            <v>3294072</v>
          </cell>
        </row>
        <row r="27">
          <cell r="O27">
            <v>105941027</v>
          </cell>
          <cell r="P27">
            <v>57427564</v>
          </cell>
          <cell r="Q27">
            <v>173209952</v>
          </cell>
          <cell r="R27">
            <v>3672814</v>
          </cell>
        </row>
        <row r="28">
          <cell r="O28">
            <v>113521698</v>
          </cell>
          <cell r="P28">
            <v>62828148</v>
          </cell>
          <cell r="Q28">
            <v>187152484</v>
          </cell>
          <cell r="R28">
            <v>3920276</v>
          </cell>
        </row>
        <row r="29">
          <cell r="O29">
            <v>121221015</v>
          </cell>
          <cell r="P29">
            <v>68716114</v>
          </cell>
          <cell r="Q29">
            <v>200595693</v>
          </cell>
          <cell r="R29">
            <v>4202726</v>
          </cell>
        </row>
        <row r="30">
          <cell r="O30">
            <v>123942872</v>
          </cell>
          <cell r="P30">
            <v>71234774</v>
          </cell>
          <cell r="Q30">
            <v>200978477</v>
          </cell>
          <cell r="R30">
            <v>4436708</v>
          </cell>
        </row>
        <row r="31">
          <cell r="O31">
            <v>120650271</v>
          </cell>
          <cell r="P31">
            <v>69126281</v>
          </cell>
          <cell r="Q31">
            <v>188554673</v>
          </cell>
          <cell r="R31">
            <v>4435808</v>
          </cell>
        </row>
        <row r="32">
          <cell r="O32">
            <v>112717188</v>
          </cell>
          <cell r="P32">
            <v>63899693</v>
          </cell>
          <cell r="Q32">
            <v>166829909</v>
          </cell>
          <cell r="R32">
            <v>4301050</v>
          </cell>
        </row>
        <row r="33">
          <cell r="O33">
            <v>109182096</v>
          </cell>
          <cell r="P33">
            <v>59870593</v>
          </cell>
          <cell r="Q33">
            <v>151980115</v>
          </cell>
          <cell r="R33">
            <v>4296061</v>
          </cell>
        </row>
        <row r="34">
          <cell r="O34">
            <v>8645207.995000001</v>
          </cell>
          <cell r="P34">
            <v>4065189.75</v>
          </cell>
          <cell r="Q34">
            <v>8287605.1150000002</v>
          </cell>
          <cell r="R34">
            <v>25239134</v>
          </cell>
          <cell r="S34">
            <v>46237136.859999999</v>
          </cell>
          <cell r="U34">
            <v>13225286.939999999</v>
          </cell>
          <cell r="V34">
            <v>1367254.07</v>
          </cell>
          <cell r="W34">
            <v>22444043.98</v>
          </cell>
          <cell r="X34">
            <v>10178608</v>
          </cell>
        </row>
        <row r="35">
          <cell r="O35">
            <v>5826466.6889999993</v>
          </cell>
          <cell r="P35">
            <v>3907711.7768000001</v>
          </cell>
          <cell r="Q35">
            <v>8059406.7249999996</v>
          </cell>
          <cell r="R35">
            <v>26718987</v>
          </cell>
          <cell r="S35">
            <v>44512572.190799996</v>
          </cell>
          <cell r="U35">
            <v>180484.07</v>
          </cell>
          <cell r="V35">
            <v>1170577.6100000001</v>
          </cell>
          <cell r="W35">
            <v>1625107.79</v>
          </cell>
          <cell r="X35">
            <v>12221034</v>
          </cell>
        </row>
        <row r="36">
          <cell r="O36">
            <v>5825915.9800000004</v>
          </cell>
          <cell r="P36">
            <v>4552394.5719999997</v>
          </cell>
          <cell r="Q36">
            <v>8448603.4210000001</v>
          </cell>
          <cell r="R36">
            <v>31914206</v>
          </cell>
          <cell r="S36">
            <v>50741119.973000005</v>
          </cell>
          <cell r="U36">
            <v>1900088.19</v>
          </cell>
          <cell r="V36">
            <v>1312776.43</v>
          </cell>
          <cell r="W36">
            <v>1776572.41</v>
          </cell>
          <cell r="X36">
            <v>17910197</v>
          </cell>
        </row>
        <row r="37">
          <cell r="O37">
            <v>6996873.8389999997</v>
          </cell>
          <cell r="P37">
            <v>5710806.3159999996</v>
          </cell>
          <cell r="Q37">
            <v>9743293.1420000009</v>
          </cell>
          <cell r="R37">
            <v>35133612</v>
          </cell>
          <cell r="S37">
            <v>57584585.296999998</v>
          </cell>
          <cell r="U37">
            <v>420037.68</v>
          </cell>
          <cell r="V37">
            <v>856368.8</v>
          </cell>
          <cell r="W37">
            <v>1637914.62</v>
          </cell>
          <cell r="X37">
            <v>6968697</v>
          </cell>
        </row>
        <row r="38">
          <cell r="O38">
            <v>8737576.0960000008</v>
          </cell>
          <cell r="P38">
            <v>6908551.5030000005</v>
          </cell>
          <cell r="Q38">
            <v>10745994.710000001</v>
          </cell>
          <cell r="R38">
            <v>34347927</v>
          </cell>
          <cell r="S38">
            <v>60740049.309</v>
          </cell>
          <cell r="U38">
            <v>644169</v>
          </cell>
          <cell r="V38">
            <v>1552987</v>
          </cell>
          <cell r="W38">
            <v>2416675</v>
          </cell>
          <cell r="X38">
            <v>20240594</v>
          </cell>
        </row>
        <row r="39">
          <cell r="O39">
            <v>11652672.339</v>
          </cell>
          <cell r="P39">
            <v>8568167.9450000003</v>
          </cell>
          <cell r="Q39">
            <v>13294968.25</v>
          </cell>
          <cell r="R39">
            <v>38349763.638889998</v>
          </cell>
          <cell r="S39">
            <v>71865572.172890007</v>
          </cell>
          <cell r="U39">
            <v>406004</v>
          </cell>
          <cell r="V39">
            <v>1061115</v>
          </cell>
          <cell r="W39">
            <v>1520229</v>
          </cell>
          <cell r="X39">
            <v>9046495</v>
          </cell>
        </row>
        <row r="40">
          <cell r="O40">
            <v>12573252.045</v>
          </cell>
          <cell r="P40">
            <v>8425344.438000001</v>
          </cell>
          <cell r="Q40">
            <v>15708220.144000001</v>
          </cell>
          <cell r="R40">
            <v>42447730.530299999</v>
          </cell>
          <cell r="S40">
            <v>79154547.157299995</v>
          </cell>
          <cell r="U40">
            <v>573343</v>
          </cell>
          <cell r="V40">
            <v>882561</v>
          </cell>
          <cell r="W40">
            <v>2569544</v>
          </cell>
          <cell r="X40">
            <v>8514675</v>
          </cell>
        </row>
        <row r="41">
          <cell r="O41">
            <v>13838930.147</v>
          </cell>
          <cell r="P41">
            <v>8803621.2709999997</v>
          </cell>
          <cell r="Q41">
            <v>16168136.035</v>
          </cell>
          <cell r="R41">
            <v>41427572.085600004</v>
          </cell>
          <cell r="S41">
            <v>80238259.538599998</v>
          </cell>
          <cell r="U41">
            <v>6371206</v>
          </cell>
          <cell r="V41">
            <v>2289890</v>
          </cell>
          <cell r="W41">
            <v>10312506</v>
          </cell>
          <cell r="X41">
            <v>10127907</v>
          </cell>
        </row>
        <row r="42">
          <cell r="O42">
            <v>14103814.475</v>
          </cell>
          <cell r="P42">
            <v>8465255.5940000005</v>
          </cell>
          <cell r="Q42">
            <v>14452666.932</v>
          </cell>
          <cell r="R42">
            <v>34004814.583099999</v>
          </cell>
          <cell r="S42">
            <v>71026551.584100008</v>
          </cell>
          <cell r="U42">
            <v>742130</v>
          </cell>
          <cell r="V42">
            <v>3778386</v>
          </cell>
          <cell r="W42">
            <v>3655754</v>
          </cell>
          <cell r="X42">
            <v>8680187</v>
          </cell>
        </row>
        <row r="43">
          <cell r="O43">
            <v>15784217.73</v>
          </cell>
          <cell r="P43">
            <v>8437094.091</v>
          </cell>
          <cell r="Q43">
            <v>14453384.889</v>
          </cell>
          <cell r="R43">
            <v>36439477.252300002</v>
          </cell>
          <cell r="S43">
            <v>75114173.962300003</v>
          </cell>
          <cell r="U43">
            <v>324948</v>
          </cell>
          <cell r="V43">
            <v>485581</v>
          </cell>
          <cell r="W43">
            <v>3332580</v>
          </cell>
          <cell r="X43">
            <v>9518422</v>
          </cell>
        </row>
        <row r="44">
          <cell r="O44">
            <v>17776665.91</v>
          </cell>
          <cell r="P44">
            <v>8894551.5980000012</v>
          </cell>
          <cell r="Q44">
            <v>15173521.373</v>
          </cell>
          <cell r="R44">
            <v>32881662.327399999</v>
          </cell>
          <cell r="S44">
            <v>74726401.208399996</v>
          </cell>
          <cell r="U44">
            <v>1947817</v>
          </cell>
          <cell r="V44">
            <v>1394445</v>
          </cell>
          <cell r="W44">
            <v>2426814</v>
          </cell>
          <cell r="X44">
            <v>23547404</v>
          </cell>
        </row>
        <row r="45">
          <cell r="O45">
            <v>20514469</v>
          </cell>
          <cell r="P45">
            <v>10534795</v>
          </cell>
          <cell r="Q45">
            <v>17843905</v>
          </cell>
          <cell r="R45">
            <v>37396181</v>
          </cell>
          <cell r="S45">
            <v>86289350</v>
          </cell>
          <cell r="U45">
            <v>10059284</v>
          </cell>
          <cell r="V45">
            <v>1227528</v>
          </cell>
          <cell r="W45">
            <v>5925066</v>
          </cell>
          <cell r="X45">
            <v>7950367</v>
          </cell>
        </row>
        <row r="46">
          <cell r="O46">
            <v>25868450</v>
          </cell>
          <cell r="P46">
            <v>13881847</v>
          </cell>
          <cell r="Q46">
            <v>23423208</v>
          </cell>
          <cell r="R46">
            <v>49027236</v>
          </cell>
          <cell r="S46">
            <v>112200741</v>
          </cell>
          <cell r="U46">
            <v>2672918</v>
          </cell>
          <cell r="V46">
            <v>2295803</v>
          </cell>
          <cell r="W46">
            <v>17213668</v>
          </cell>
          <cell r="X46">
            <v>10177909</v>
          </cell>
        </row>
        <row r="47">
          <cell r="O47">
            <v>30357860</v>
          </cell>
          <cell r="P47">
            <v>15458506</v>
          </cell>
          <cell r="Q47">
            <v>27306202</v>
          </cell>
          <cell r="R47">
            <v>49927649</v>
          </cell>
          <cell r="S47">
            <v>123050217</v>
          </cell>
          <cell r="U47">
            <v>731759</v>
          </cell>
          <cell r="V47">
            <v>569877</v>
          </cell>
          <cell r="W47">
            <v>990613</v>
          </cell>
          <cell r="X47">
            <v>3738542</v>
          </cell>
        </row>
        <row r="48">
          <cell r="O48">
            <v>36780457</v>
          </cell>
          <cell r="P48">
            <v>17471646</v>
          </cell>
          <cell r="Q48">
            <v>31012304</v>
          </cell>
          <cell r="R48">
            <v>50116517</v>
          </cell>
          <cell r="S48">
            <v>135380924</v>
          </cell>
          <cell r="U48">
            <v>34527644</v>
          </cell>
          <cell r="V48">
            <v>872451</v>
          </cell>
          <cell r="W48">
            <v>115989785</v>
          </cell>
          <cell r="X48">
            <v>34201898</v>
          </cell>
        </row>
        <row r="49">
          <cell r="O49">
            <v>43562211</v>
          </cell>
          <cell r="P49">
            <v>19888512</v>
          </cell>
          <cell r="Q49">
            <v>36545725</v>
          </cell>
          <cell r="R49">
            <v>54703319</v>
          </cell>
          <cell r="S49">
            <v>154699767</v>
          </cell>
          <cell r="U49">
            <v>813430</v>
          </cell>
          <cell r="V49">
            <v>621501</v>
          </cell>
          <cell r="W49">
            <v>1842548</v>
          </cell>
          <cell r="X49">
            <v>4909932</v>
          </cell>
        </row>
        <row r="50">
          <cell r="O50">
            <v>59282257</v>
          </cell>
          <cell r="P50">
            <v>29704042</v>
          </cell>
          <cell r="Q50">
            <v>69945120</v>
          </cell>
          <cell r="R50">
            <v>60982886</v>
          </cell>
          <cell r="S50">
            <v>219914305</v>
          </cell>
          <cell r="U50">
            <v>2757645</v>
          </cell>
          <cell r="V50">
            <v>833793</v>
          </cell>
          <cell r="W50">
            <v>10105722</v>
          </cell>
          <cell r="X50">
            <v>5242698</v>
          </cell>
        </row>
        <row r="51">
          <cell r="O51">
            <v>73789694</v>
          </cell>
          <cell r="P51">
            <v>40565108</v>
          </cell>
          <cell r="Q51">
            <v>110187567</v>
          </cell>
          <cell r="R51">
            <v>65015817</v>
          </cell>
          <cell r="S51">
            <v>289558186</v>
          </cell>
          <cell r="U51">
            <v>1052325077</v>
          </cell>
          <cell r="V51">
            <v>1468028</v>
          </cell>
          <cell r="W51">
            <v>694640836</v>
          </cell>
          <cell r="X51">
            <v>448708416</v>
          </cell>
        </row>
        <row r="52">
          <cell r="O52">
            <v>81999709</v>
          </cell>
          <cell r="P52">
            <v>46363445</v>
          </cell>
          <cell r="Q52">
            <v>128275387</v>
          </cell>
          <cell r="R52">
            <v>70667217</v>
          </cell>
          <cell r="S52">
            <v>327305758</v>
          </cell>
          <cell r="U52">
            <v>3581024</v>
          </cell>
          <cell r="V52">
            <v>615469</v>
          </cell>
          <cell r="W52">
            <v>2522159</v>
          </cell>
          <cell r="X52">
            <v>9952501</v>
          </cell>
        </row>
        <row r="53">
          <cell r="O53">
            <v>89665314</v>
          </cell>
          <cell r="P53">
            <v>51529115</v>
          </cell>
          <cell r="Q53">
            <v>143236007</v>
          </cell>
          <cell r="R53">
            <v>70788779</v>
          </cell>
          <cell r="S53">
            <v>355219215</v>
          </cell>
          <cell r="U53">
            <v>1451547</v>
          </cell>
          <cell r="V53">
            <v>4059049</v>
          </cell>
          <cell r="W53">
            <v>9656553</v>
          </cell>
          <cell r="X53">
            <v>10829031</v>
          </cell>
        </row>
        <row r="54">
          <cell r="O54">
            <v>93230854</v>
          </cell>
          <cell r="P54">
            <v>52931755</v>
          </cell>
          <cell r="Q54">
            <v>151387931</v>
          </cell>
          <cell r="R54">
            <v>73325323</v>
          </cell>
          <cell r="S54">
            <v>370875863</v>
          </cell>
          <cell r="U54">
            <v>1329886</v>
          </cell>
          <cell r="V54">
            <v>19843778</v>
          </cell>
          <cell r="W54">
            <v>59069922</v>
          </cell>
          <cell r="X54">
            <v>5992356</v>
          </cell>
        </row>
        <row r="55">
          <cell r="O55">
            <v>99629727</v>
          </cell>
          <cell r="P55">
            <v>56334273</v>
          </cell>
          <cell r="Q55">
            <v>170159709</v>
          </cell>
          <cell r="R55">
            <v>80858142</v>
          </cell>
          <cell r="S55">
            <v>406981851</v>
          </cell>
          <cell r="U55">
            <v>10756644</v>
          </cell>
          <cell r="V55">
            <v>21286940</v>
          </cell>
          <cell r="W55">
            <v>21183482</v>
          </cell>
          <cell r="X55">
            <v>89891814</v>
          </cell>
        </row>
        <row r="56">
          <cell r="O56">
            <v>107104250</v>
          </cell>
          <cell r="P56">
            <v>60101696</v>
          </cell>
          <cell r="Q56">
            <v>183495510</v>
          </cell>
          <cell r="R56">
            <v>90250703</v>
          </cell>
          <cell r="S56">
            <v>440952159</v>
          </cell>
          <cell r="U56">
            <v>54316145</v>
          </cell>
          <cell r="V56">
            <v>6825640</v>
          </cell>
          <cell r="W56">
            <v>6488552</v>
          </cell>
          <cell r="X56">
            <v>22062101</v>
          </cell>
        </row>
        <row r="57">
          <cell r="O57">
            <v>114784032</v>
          </cell>
          <cell r="P57">
            <v>65642137</v>
          </cell>
          <cell r="Q57">
            <v>197640983</v>
          </cell>
          <cell r="R57">
            <v>99916064</v>
          </cell>
          <cell r="S57">
            <v>477983216</v>
          </cell>
          <cell r="U57">
            <v>691708</v>
          </cell>
          <cell r="V57">
            <v>1913725</v>
          </cell>
          <cell r="W57">
            <v>7237896</v>
          </cell>
          <cell r="X57">
            <v>20950951</v>
          </cell>
        </row>
        <row r="58">
          <cell r="O58">
            <v>122782019</v>
          </cell>
          <cell r="P58">
            <v>72124134</v>
          </cell>
          <cell r="Q58">
            <v>212320998</v>
          </cell>
          <cell r="R58">
            <v>110352614</v>
          </cell>
          <cell r="S58">
            <v>517579765</v>
          </cell>
          <cell r="U58">
            <v>17655480</v>
          </cell>
          <cell r="V58">
            <v>9916873</v>
          </cell>
          <cell r="W58">
            <v>89978392</v>
          </cell>
          <cell r="X58">
            <v>43749835</v>
          </cell>
        </row>
        <row r="59">
          <cell r="O59">
            <v>127007324</v>
          </cell>
          <cell r="P59">
            <v>76436084</v>
          </cell>
          <cell r="Q59">
            <v>218795204</v>
          </cell>
          <cell r="R59">
            <v>119744188</v>
          </cell>
          <cell r="S59">
            <v>541982800</v>
          </cell>
          <cell r="U59">
            <v>11291643</v>
          </cell>
          <cell r="V59">
            <v>10418298</v>
          </cell>
          <cell r="W59">
            <v>15012404</v>
          </cell>
          <cell r="X59">
            <v>46199850</v>
          </cell>
        </row>
        <row r="60">
          <cell r="O60">
            <v>126002753</v>
          </cell>
          <cell r="P60">
            <v>77008517</v>
          </cell>
          <cell r="Q60">
            <v>212533686</v>
          </cell>
          <cell r="R60">
            <v>117739636</v>
          </cell>
          <cell r="S60">
            <v>533284592</v>
          </cell>
          <cell r="U60">
            <v>40819572</v>
          </cell>
          <cell r="V60">
            <v>274719455</v>
          </cell>
          <cell r="W60">
            <v>705069821</v>
          </cell>
          <cell r="X60">
            <v>74392945</v>
          </cell>
        </row>
        <row r="61">
          <cell r="O61">
            <v>122707170</v>
          </cell>
          <cell r="P61">
            <v>77031486</v>
          </cell>
          <cell r="Q61">
            <v>201509514</v>
          </cell>
          <cell r="R61">
            <v>115484141</v>
          </cell>
          <cell r="S61">
            <v>516732311</v>
          </cell>
          <cell r="U61">
            <v>2980015</v>
          </cell>
          <cell r="V61">
            <v>1701043</v>
          </cell>
          <cell r="W61">
            <v>9481014</v>
          </cell>
          <cell r="X61">
            <v>12269364</v>
          </cell>
        </row>
        <row r="62">
          <cell r="O62">
            <v>121969675</v>
          </cell>
          <cell r="P62">
            <v>76490369</v>
          </cell>
          <cell r="Q62">
            <v>194394581</v>
          </cell>
          <cell r="R62">
            <v>116764667</v>
          </cell>
          <cell r="S62">
            <v>509619292</v>
          </cell>
          <cell r="U62">
            <v>4945341</v>
          </cell>
          <cell r="V62">
            <v>1230125</v>
          </cell>
          <cell r="W62">
            <v>14185711</v>
          </cell>
          <cell r="X62">
            <v>31309739</v>
          </cell>
        </row>
      </sheetData>
      <sheetData sheetId="3">
        <row r="1">
          <cell r="E1">
            <v>43738</v>
          </cell>
        </row>
        <row r="2">
          <cell r="E2">
            <v>43830</v>
          </cell>
        </row>
        <row r="25">
          <cell r="S25">
            <v>0</v>
          </cell>
          <cell r="T25">
            <v>187854</v>
          </cell>
          <cell r="U25">
            <v>1063585</v>
          </cell>
          <cell r="V25">
            <v>0</v>
          </cell>
          <cell r="X25">
            <v>1264721</v>
          </cell>
          <cell r="Y25">
            <v>3445556</v>
          </cell>
          <cell r="Z25">
            <v>6663982</v>
          </cell>
          <cell r="AA25">
            <v>182872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1277401</v>
          </cell>
          <cell r="Y26">
            <v>19199535</v>
          </cell>
          <cell r="Z26">
            <v>56124736</v>
          </cell>
          <cell r="AA26">
            <v>54382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X27">
            <v>10634874</v>
          </cell>
          <cell r="Y27">
            <v>20626638</v>
          </cell>
          <cell r="Z27">
            <v>18946421</v>
          </cell>
          <cell r="AA27">
            <v>259290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54058418</v>
          </cell>
          <cell r="Y28">
            <v>6175709</v>
          </cell>
          <cell r="Z28">
            <v>4828213</v>
          </cell>
          <cell r="AA28">
            <v>502759</v>
          </cell>
        </row>
        <row r="29"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520624</v>
          </cell>
          <cell r="Y29">
            <v>1617725</v>
          </cell>
          <cell r="Z29">
            <v>2844586</v>
          </cell>
          <cell r="AA29">
            <v>30748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17432597</v>
          </cell>
          <cell r="Y30">
            <v>9413903</v>
          </cell>
          <cell r="Z30">
            <v>86349948</v>
          </cell>
          <cell r="AA30">
            <v>322838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10965754</v>
          </cell>
          <cell r="Y31">
            <v>9521301</v>
          </cell>
          <cell r="Z31">
            <v>12162624</v>
          </cell>
          <cell r="AA31">
            <v>446449</v>
          </cell>
        </row>
        <row r="32">
          <cell r="S32">
            <v>33808487</v>
          </cell>
          <cell r="T32">
            <v>240658023</v>
          </cell>
          <cell r="U32">
            <v>607746813</v>
          </cell>
          <cell r="V32">
            <v>3233870</v>
          </cell>
          <cell r="X32">
            <v>2662919</v>
          </cell>
          <cell r="Y32">
            <v>7629476</v>
          </cell>
          <cell r="Z32">
            <v>21764714</v>
          </cell>
          <cell r="AA32">
            <v>481121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2271239</v>
          </cell>
          <cell r="Y33">
            <v>1103506</v>
          </cell>
          <cell r="Z33">
            <v>6649393</v>
          </cell>
          <cell r="AA33">
            <v>282195</v>
          </cell>
        </row>
        <row r="34"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3407800</v>
          </cell>
          <cell r="Y34">
            <v>655541</v>
          </cell>
          <cell r="Z34">
            <v>8685429</v>
          </cell>
          <cell r="AA34">
            <v>1800402</v>
          </cell>
        </row>
      </sheetData>
      <sheetData sheetId="4">
        <row r="1">
          <cell r="C1">
            <v>43799</v>
          </cell>
        </row>
        <row r="5">
          <cell r="F5">
            <v>1560359867.8000004</v>
          </cell>
          <cell r="L5">
            <v>3705012.9335731762</v>
          </cell>
        </row>
        <row r="6">
          <cell r="F6">
            <v>9623821708.8000031</v>
          </cell>
          <cell r="L6">
            <v>16568400.233137269</v>
          </cell>
        </row>
        <row r="7">
          <cell r="F7">
            <v>884610796.19999981</v>
          </cell>
          <cell r="L7">
            <v>3148798.571375967</v>
          </cell>
        </row>
        <row r="8">
          <cell r="F8">
            <v>2184121355.4000006</v>
          </cell>
          <cell r="L8">
            <v>4478722.3169177016</v>
          </cell>
        </row>
        <row r="9">
          <cell r="F9">
            <v>1407119050</v>
          </cell>
          <cell r="L9">
            <v>2314526.7725804718</v>
          </cell>
        </row>
        <row r="10">
          <cell r="F10">
            <v>18526441804.600044</v>
          </cell>
          <cell r="L10">
            <v>59618674.820189536</v>
          </cell>
        </row>
        <row r="11">
          <cell r="F11">
            <v>1104155978.6000001</v>
          </cell>
          <cell r="L11">
            <v>3166743.7562099621</v>
          </cell>
        </row>
        <row r="12">
          <cell r="F12">
            <v>6147763527.2000046</v>
          </cell>
          <cell r="L12">
            <v>11425894.557952307</v>
          </cell>
        </row>
        <row r="13">
          <cell r="F13">
            <v>5642300</v>
          </cell>
          <cell r="L13">
            <v>12762.270635381006</v>
          </cell>
        </row>
        <row r="14">
          <cell r="F14">
            <v>185682006.00000003</v>
          </cell>
          <cell r="L14">
            <v>267952.20597839757</v>
          </cell>
        </row>
        <row r="15">
          <cell r="F15">
            <v>1085935796.4000001</v>
          </cell>
          <cell r="L15">
            <v>3066293.4230033671</v>
          </cell>
        </row>
        <row r="16">
          <cell r="F16">
            <v>10223619624.800001</v>
          </cell>
          <cell r="L16">
            <v>21208047.291294284</v>
          </cell>
        </row>
        <row r="17">
          <cell r="F17">
            <v>74313904</v>
          </cell>
          <cell r="L17">
            <v>173582.14029182095</v>
          </cell>
        </row>
        <row r="18">
          <cell r="F18">
            <v>1622087710.4000003</v>
          </cell>
          <cell r="L18">
            <v>3179005.4934524228</v>
          </cell>
        </row>
        <row r="19">
          <cell r="F19">
            <v>76748295.200000003</v>
          </cell>
          <cell r="L19">
            <v>217297.69979318854</v>
          </cell>
        </row>
        <row r="30">
          <cell r="F30">
            <v>1560359867.8000004</v>
          </cell>
          <cell r="L30">
            <v>4195184.4184819199</v>
          </cell>
        </row>
        <row r="31">
          <cell r="F31">
            <v>9623821708.8000031</v>
          </cell>
          <cell r="L31">
            <v>17422330.611052517</v>
          </cell>
        </row>
        <row r="32">
          <cell r="F32">
            <v>884610796.19999981</v>
          </cell>
          <cell r="L32">
            <v>2847687.5147336619</v>
          </cell>
        </row>
        <row r="33">
          <cell r="F33">
            <v>2184121355.4000006</v>
          </cell>
          <cell r="L33">
            <v>3992196.9525456904</v>
          </cell>
        </row>
        <row r="34">
          <cell r="F34">
            <v>1407119050</v>
          </cell>
          <cell r="L34">
            <v>2468156.884838907</v>
          </cell>
        </row>
        <row r="35">
          <cell r="F35">
            <v>18526441804.600044</v>
          </cell>
          <cell r="L35">
            <v>80652773.17462267</v>
          </cell>
        </row>
        <row r="36">
          <cell r="F36">
            <v>1104155978.6000001</v>
          </cell>
          <cell r="L36">
            <v>4849824.6415968891</v>
          </cell>
        </row>
        <row r="37">
          <cell r="F37">
            <v>6147763527.2000046</v>
          </cell>
          <cell r="L37">
            <v>13072111.960949117</v>
          </cell>
        </row>
        <row r="38">
          <cell r="F38">
            <v>5642300</v>
          </cell>
          <cell r="L38">
            <v>6086.0542694078686</v>
          </cell>
        </row>
        <row r="39">
          <cell r="F39">
            <v>185682006.00000003</v>
          </cell>
          <cell r="L39">
            <v>181406.30663484739</v>
          </cell>
        </row>
        <row r="40">
          <cell r="F40">
            <v>1085935796.4000001</v>
          </cell>
          <cell r="L40">
            <v>3103721.4370210944</v>
          </cell>
        </row>
        <row r="41">
          <cell r="F41">
            <v>10223619624.800001</v>
          </cell>
          <cell r="L41">
            <v>27506251.294083036</v>
          </cell>
        </row>
        <row r="42">
          <cell r="F42">
            <v>74313904</v>
          </cell>
          <cell r="L42">
            <v>119728.81012941794</v>
          </cell>
        </row>
        <row r="43">
          <cell r="F43">
            <v>1622087710.4000003</v>
          </cell>
          <cell r="L43">
            <v>3323669.91741852</v>
          </cell>
        </row>
        <row r="44">
          <cell r="F44">
            <v>76748295.200000003</v>
          </cell>
          <cell r="L44">
            <v>167096.37223321377</v>
          </cell>
        </row>
      </sheetData>
      <sheetData sheetId="5">
        <row r="1">
          <cell r="B1">
            <v>43738</v>
          </cell>
        </row>
        <row r="2">
          <cell r="B2">
            <v>43830</v>
          </cell>
        </row>
        <row r="37">
          <cell r="B37">
            <v>63706329</v>
          </cell>
          <cell r="C37">
            <v>70823841</v>
          </cell>
          <cell r="D37">
            <v>72510336</v>
          </cell>
          <cell r="E37">
            <v>73282245</v>
          </cell>
          <cell r="F37">
            <v>73407376</v>
          </cell>
          <cell r="G37">
            <v>73508150</v>
          </cell>
          <cell r="H37">
            <v>73530241</v>
          </cell>
          <cell r="I37">
            <v>73536265</v>
          </cell>
          <cell r="J37">
            <v>73536265</v>
          </cell>
        </row>
        <row r="39">
          <cell r="B39">
            <v>66045105</v>
          </cell>
          <cell r="C39">
            <v>71577621</v>
          </cell>
          <cell r="D39">
            <v>72984393</v>
          </cell>
          <cell r="E39">
            <v>73567752</v>
          </cell>
          <cell r="F39">
            <v>73598733</v>
          </cell>
          <cell r="G39">
            <v>73572807</v>
          </cell>
          <cell r="H39">
            <v>73530241</v>
          </cell>
          <cell r="I39">
            <v>73536265</v>
          </cell>
          <cell r="J39">
            <v>73536265</v>
          </cell>
        </row>
        <row r="41">
          <cell r="B41">
            <v>137268975</v>
          </cell>
          <cell r="C41">
            <v>154006388</v>
          </cell>
          <cell r="D41">
            <v>156583413</v>
          </cell>
          <cell r="E41">
            <v>157455959</v>
          </cell>
          <cell r="F41">
            <v>157928871</v>
          </cell>
          <cell r="G41">
            <v>157995441</v>
          </cell>
          <cell r="H41">
            <v>158032134</v>
          </cell>
          <cell r="I41">
            <v>158045550</v>
          </cell>
          <cell r="J41">
            <v>158070557</v>
          </cell>
        </row>
        <row r="43">
          <cell r="B43">
            <v>143685191</v>
          </cell>
          <cell r="C43">
            <v>155082103</v>
          </cell>
          <cell r="D43">
            <v>157260644</v>
          </cell>
          <cell r="E43">
            <v>157739173</v>
          </cell>
          <cell r="F43">
            <v>158013526</v>
          </cell>
          <cell r="G43">
            <v>157995441</v>
          </cell>
          <cell r="H43">
            <v>158049585</v>
          </cell>
          <cell r="I43">
            <v>158045550</v>
          </cell>
          <cell r="J43">
            <v>158070557</v>
          </cell>
        </row>
        <row r="45">
          <cell r="B45">
            <v>162843785</v>
          </cell>
          <cell r="C45">
            <v>196787659</v>
          </cell>
          <cell r="D45">
            <v>232372931</v>
          </cell>
          <cell r="E45">
            <v>242523103</v>
          </cell>
          <cell r="F45">
            <v>245226899</v>
          </cell>
          <cell r="G45">
            <v>246785273</v>
          </cell>
          <cell r="H45">
            <v>247418887</v>
          </cell>
          <cell r="I45">
            <v>247576732</v>
          </cell>
        </row>
        <row r="47">
          <cell r="B47">
            <v>170023007</v>
          </cell>
          <cell r="C47">
            <v>203479515</v>
          </cell>
          <cell r="D47">
            <v>240438584</v>
          </cell>
          <cell r="E47">
            <v>246180482</v>
          </cell>
          <cell r="F47">
            <v>247026668</v>
          </cell>
          <cell r="G47">
            <v>247421704</v>
          </cell>
          <cell r="H47">
            <v>247519642</v>
          </cell>
          <cell r="I47">
            <v>247579884</v>
          </cell>
        </row>
        <row r="49">
          <cell r="B49">
            <v>124049953</v>
          </cell>
          <cell r="C49">
            <v>143358632</v>
          </cell>
          <cell r="D49">
            <v>151995425</v>
          </cell>
          <cell r="E49">
            <v>154466005</v>
          </cell>
          <cell r="F49">
            <v>156218419</v>
          </cell>
          <cell r="G49">
            <v>156541239</v>
          </cell>
          <cell r="H49">
            <v>156580239</v>
          </cell>
        </row>
        <row r="51">
          <cell r="B51">
            <v>127452940</v>
          </cell>
          <cell r="C51">
            <v>147008796</v>
          </cell>
          <cell r="D51">
            <v>154929835</v>
          </cell>
          <cell r="E51">
            <v>155922478</v>
          </cell>
          <cell r="F51">
            <v>156569090</v>
          </cell>
          <cell r="G51">
            <v>156577214</v>
          </cell>
          <cell r="H51">
            <v>156580239</v>
          </cell>
        </row>
        <row r="53">
          <cell r="B53">
            <v>151510397</v>
          </cell>
          <cell r="C53">
            <v>178253200</v>
          </cell>
          <cell r="D53">
            <v>187490071</v>
          </cell>
          <cell r="E53">
            <v>191068370</v>
          </cell>
          <cell r="F53">
            <v>191825376</v>
          </cell>
          <cell r="G53">
            <v>192297131</v>
          </cell>
        </row>
        <row r="55">
          <cell r="B55">
            <v>157426480</v>
          </cell>
          <cell r="C55">
            <v>183365534</v>
          </cell>
          <cell r="D55">
            <v>190277645</v>
          </cell>
          <cell r="E55">
            <v>191866051</v>
          </cell>
          <cell r="F55">
            <v>192056094</v>
          </cell>
          <cell r="G55">
            <v>192336331</v>
          </cell>
        </row>
        <row r="57">
          <cell r="B57">
            <v>173851321</v>
          </cell>
          <cell r="C57">
            <v>200068627</v>
          </cell>
          <cell r="D57">
            <v>206343457</v>
          </cell>
          <cell r="E57">
            <v>208326698</v>
          </cell>
          <cell r="F57">
            <v>209062544</v>
          </cell>
        </row>
        <row r="59">
          <cell r="B59">
            <v>183265977</v>
          </cell>
          <cell r="C59">
            <v>204238612</v>
          </cell>
          <cell r="D59">
            <v>208541167</v>
          </cell>
          <cell r="E59">
            <v>209008196</v>
          </cell>
          <cell r="F59">
            <v>209162560</v>
          </cell>
        </row>
        <row r="61">
          <cell r="B61">
            <v>486123737</v>
          </cell>
          <cell r="C61">
            <v>553331928</v>
          </cell>
          <cell r="D61">
            <v>561570000</v>
          </cell>
          <cell r="E61">
            <v>563806872</v>
          </cell>
        </row>
        <row r="63">
          <cell r="B63">
            <v>498091696</v>
          </cell>
          <cell r="C63">
            <v>556120188</v>
          </cell>
          <cell r="D63">
            <v>562298313</v>
          </cell>
          <cell r="E63">
            <v>563957542</v>
          </cell>
        </row>
        <row r="65">
          <cell r="B65">
            <v>634032864</v>
          </cell>
          <cell r="C65">
            <v>775471701</v>
          </cell>
          <cell r="D65">
            <v>803355329</v>
          </cell>
        </row>
        <row r="67">
          <cell r="B67">
            <v>665246722</v>
          </cell>
          <cell r="C67">
            <v>791814275</v>
          </cell>
          <cell r="D67">
            <v>816621507</v>
          </cell>
        </row>
        <row r="69">
          <cell r="B69">
            <v>181011401</v>
          </cell>
          <cell r="C69">
            <v>216648087</v>
          </cell>
        </row>
        <row r="71">
          <cell r="B71">
            <v>186500396</v>
          </cell>
          <cell r="C71">
            <v>217812835</v>
          </cell>
        </row>
        <row r="73">
          <cell r="B73">
            <v>272310812</v>
          </cell>
        </row>
        <row r="75">
          <cell r="B75">
            <v>279621771</v>
          </cell>
        </row>
      </sheetData>
      <sheetData sheetId="6"/>
      <sheetData sheetId="7"/>
      <sheetData sheetId="8">
        <row r="18">
          <cell r="E18">
            <v>82603320</v>
          </cell>
          <cell r="F18">
            <v>72174</v>
          </cell>
        </row>
        <row r="19">
          <cell r="E19">
            <v>91866506</v>
          </cell>
          <cell r="F19">
            <v>80037</v>
          </cell>
        </row>
        <row r="20">
          <cell r="E20">
            <v>58863267</v>
          </cell>
          <cell r="F20">
            <v>50797</v>
          </cell>
        </row>
        <row r="21">
          <cell r="E21">
            <v>59951748</v>
          </cell>
          <cell r="F21">
            <v>49776</v>
          </cell>
        </row>
        <row r="22">
          <cell r="E22">
            <v>90742856</v>
          </cell>
          <cell r="F22">
            <v>75601</v>
          </cell>
        </row>
        <row r="23">
          <cell r="E23">
            <v>99110457</v>
          </cell>
          <cell r="F23">
            <v>82435</v>
          </cell>
        </row>
        <row r="24">
          <cell r="E24">
            <v>66729933</v>
          </cell>
          <cell r="F24">
            <v>54497</v>
          </cell>
        </row>
        <row r="25">
          <cell r="E25">
            <v>68658174</v>
          </cell>
          <cell r="F25">
            <v>54769</v>
          </cell>
        </row>
        <row r="26">
          <cell r="E26">
            <v>96214511</v>
          </cell>
          <cell r="F26">
            <v>77155</v>
          </cell>
        </row>
        <row r="27">
          <cell r="E27">
            <v>112131482</v>
          </cell>
          <cell r="F27">
            <v>89431</v>
          </cell>
        </row>
        <row r="28">
          <cell r="E28">
            <v>70018382</v>
          </cell>
          <cell r="F28">
            <v>54952</v>
          </cell>
        </row>
        <row r="29">
          <cell r="E29">
            <v>71740155</v>
          </cell>
          <cell r="F29">
            <v>54742</v>
          </cell>
        </row>
        <row r="30">
          <cell r="E30">
            <v>108632729</v>
          </cell>
          <cell r="F30">
            <v>82182</v>
          </cell>
        </row>
        <row r="31">
          <cell r="E31">
            <v>111540208</v>
          </cell>
          <cell r="F31">
            <v>83114</v>
          </cell>
        </row>
        <row r="32">
          <cell r="E32">
            <v>81734680</v>
          </cell>
          <cell r="F32">
            <v>60544</v>
          </cell>
        </row>
        <row r="33">
          <cell r="E33">
            <v>77867785</v>
          </cell>
          <cell r="F33">
            <v>55592</v>
          </cell>
        </row>
        <row r="34">
          <cell r="E34">
            <v>111616003</v>
          </cell>
          <cell r="F34">
            <v>79155</v>
          </cell>
        </row>
        <row r="35">
          <cell r="E35">
            <v>128096479</v>
          </cell>
          <cell r="F35">
            <v>89874</v>
          </cell>
        </row>
        <row r="36">
          <cell r="E36">
            <v>86711448</v>
          </cell>
          <cell r="F36">
            <v>60646</v>
          </cell>
        </row>
        <row r="37">
          <cell r="E37">
            <v>85327979</v>
          </cell>
          <cell r="F37">
            <v>57651</v>
          </cell>
        </row>
        <row r="38">
          <cell r="E38">
            <v>122581230</v>
          </cell>
          <cell r="F38">
            <v>82158</v>
          </cell>
        </row>
        <row r="39">
          <cell r="E39">
            <v>127421809</v>
          </cell>
          <cell r="F39">
            <v>84402</v>
          </cell>
        </row>
        <row r="40">
          <cell r="E40">
            <v>87342988</v>
          </cell>
          <cell r="F40">
            <v>57308</v>
          </cell>
        </row>
        <row r="41">
          <cell r="E41">
            <v>84557230</v>
          </cell>
          <cell r="F41">
            <v>54113</v>
          </cell>
        </row>
        <row r="42">
          <cell r="E42">
            <v>125845764</v>
          </cell>
          <cell r="F42">
            <v>79991</v>
          </cell>
        </row>
        <row r="43">
          <cell r="E43">
            <v>123784247</v>
          </cell>
          <cell r="F43">
            <v>77932</v>
          </cell>
        </row>
        <row r="44">
          <cell r="E44">
            <v>81959449</v>
          </cell>
          <cell r="F44">
            <v>51030</v>
          </cell>
        </row>
        <row r="45">
          <cell r="E45">
            <v>79037984</v>
          </cell>
          <cell r="F45">
            <v>50991</v>
          </cell>
        </row>
        <row r="46">
          <cell r="E46">
            <v>114547681</v>
          </cell>
          <cell r="F46">
            <v>73614</v>
          </cell>
        </row>
        <row r="47">
          <cell r="E47">
            <v>108614623</v>
          </cell>
          <cell r="F47">
            <v>68864</v>
          </cell>
        </row>
        <row r="48">
          <cell r="E48">
            <v>73697340</v>
          </cell>
          <cell r="F48">
            <v>45960</v>
          </cell>
        </row>
        <row r="49">
          <cell r="E49">
            <v>71679332</v>
          </cell>
          <cell r="F49">
            <v>44101</v>
          </cell>
        </row>
        <row r="50">
          <cell r="E50">
            <v>104163394</v>
          </cell>
          <cell r="F50">
            <v>63851</v>
          </cell>
        </row>
        <row r="51">
          <cell r="E51">
            <v>101951681</v>
          </cell>
          <cell r="F51">
            <v>61408</v>
          </cell>
        </row>
        <row r="52">
          <cell r="E52">
            <v>68300637</v>
          </cell>
          <cell r="F52">
            <v>40418</v>
          </cell>
        </row>
        <row r="53">
          <cell r="E53">
            <v>65036872</v>
          </cell>
          <cell r="F53">
            <v>39758</v>
          </cell>
        </row>
        <row r="54">
          <cell r="E54">
            <v>99948528</v>
          </cell>
          <cell r="F54">
            <v>60805</v>
          </cell>
        </row>
        <row r="55">
          <cell r="E55">
            <v>97063357</v>
          </cell>
          <cell r="F55">
            <v>57547</v>
          </cell>
        </row>
        <row r="56">
          <cell r="E56">
            <v>65697652</v>
          </cell>
          <cell r="F56">
            <v>38375</v>
          </cell>
        </row>
      </sheetData>
      <sheetData sheetId="9">
        <row r="23">
          <cell r="Y23">
            <v>108030247</v>
          </cell>
        </row>
        <row r="24">
          <cell r="Y24">
            <v>58233887</v>
          </cell>
        </row>
        <row r="25">
          <cell r="Y25">
            <v>143774114</v>
          </cell>
        </row>
        <row r="26">
          <cell r="Y26">
            <v>4354003</v>
          </cell>
        </row>
        <row r="249">
          <cell r="J249">
            <v>2.0131171511531929</v>
          </cell>
        </row>
        <row r="250">
          <cell r="J250">
            <v>1.9195987469434546</v>
          </cell>
        </row>
        <row r="251">
          <cell r="J251">
            <v>1.8367857218551029</v>
          </cell>
        </row>
        <row r="252">
          <cell r="J252">
            <v>1.8323775762609837</v>
          </cell>
        </row>
        <row r="253">
          <cell r="J253">
            <v>1.7490128310516411</v>
          </cell>
        </row>
        <row r="254">
          <cell r="G254">
            <v>219412771.41374999</v>
          </cell>
          <cell r="J254">
            <v>1.6495345789525933</v>
          </cell>
          <cell r="O254">
            <v>361928953.51080167</v>
          </cell>
        </row>
        <row r="255">
          <cell r="G255">
            <v>250693787.58916676</v>
          </cell>
          <cell r="J255">
            <v>1.4987056675771686</v>
          </cell>
          <cell r="O255">
            <v>375716200.2862711</v>
          </cell>
        </row>
        <row r="256">
          <cell r="G256">
            <v>273154916.13250005</v>
          </cell>
          <cell r="J256">
            <v>1.4074808531397425</v>
          </cell>
          <cell r="O256">
            <v>384460314.39748597</v>
          </cell>
        </row>
        <row r="257">
          <cell r="G257">
            <v>292239326.51041698</v>
          </cell>
          <cell r="J257">
            <v>1.3727166755238378</v>
          </cell>
          <cell r="O257">
            <v>401161796.74470496</v>
          </cell>
        </row>
        <row r="258">
          <cell r="G258">
            <v>323323868.9816668</v>
          </cell>
          <cell r="J258">
            <v>1.3073731976777445</v>
          </cell>
          <cell r="O258">
            <v>422704960.47610188</v>
          </cell>
        </row>
        <row r="259">
          <cell r="G259">
            <v>346955938.10791636</v>
          </cell>
          <cell r="J259">
            <v>1.2452851041347781</v>
          </cell>
          <cell r="O259">
            <v>432059061.51689625</v>
          </cell>
        </row>
        <row r="260">
          <cell r="G260">
            <v>372022088.97291589</v>
          </cell>
          <cell r="J260">
            <v>1.1862347753925764</v>
          </cell>
          <cell r="O260">
            <v>441305539.15386391</v>
          </cell>
        </row>
        <row r="261">
          <cell r="G261">
            <v>403803905.31166744</v>
          </cell>
          <cell r="J261">
            <v>1.1299661810216541</v>
          </cell>
          <cell r="O261">
            <v>456284756.76665449</v>
          </cell>
        </row>
        <row r="262">
          <cell r="G262">
            <v>405934589.57833338</v>
          </cell>
          <cell r="J262">
            <v>1.0765597532120244</v>
          </cell>
          <cell r="O262">
            <v>437012841.57667494</v>
          </cell>
        </row>
        <row r="263">
          <cell r="G263">
            <v>376421384.29166651</v>
          </cell>
          <cell r="J263">
            <v>1.0500000000000014</v>
          </cell>
          <cell r="O263">
            <v>395242453.50625038</v>
          </cell>
        </row>
        <row r="264">
          <cell r="G264">
            <v>341468875.45833349</v>
          </cell>
          <cell r="J264">
            <v>1.0255439472483592</v>
          </cell>
          <cell r="O264">
            <v>350191338.39999771</v>
          </cell>
        </row>
        <row r="265">
          <cell r="G265">
            <v>322259385.91666698</v>
          </cell>
          <cell r="J265">
            <v>0.999999999999997</v>
          </cell>
          <cell r="O265">
            <v>322259385.91666603</v>
          </cell>
        </row>
      </sheetData>
      <sheetData sheetId="10">
        <row r="92">
          <cell r="H92">
            <v>179.3</v>
          </cell>
        </row>
        <row r="93">
          <cell r="H93">
            <v>178.8</v>
          </cell>
        </row>
        <row r="94">
          <cell r="H94">
            <v>178.46</v>
          </cell>
        </row>
        <row r="95">
          <cell r="H95">
            <v>178.56</v>
          </cell>
        </row>
        <row r="96">
          <cell r="H96">
            <v>178.59</v>
          </cell>
        </row>
        <row r="97">
          <cell r="H97">
            <v>178.72</v>
          </cell>
        </row>
        <row r="98">
          <cell r="H98">
            <v>178.97</v>
          </cell>
        </row>
        <row r="99">
          <cell r="H99">
            <v>179.61</v>
          </cell>
        </row>
        <row r="100">
          <cell r="H100">
            <v>180.52</v>
          </cell>
        </row>
        <row r="101">
          <cell r="H101">
            <v>181.55</v>
          </cell>
        </row>
        <row r="102">
          <cell r="H102">
            <v>182.78</v>
          </cell>
        </row>
        <row r="103">
          <cell r="H103">
            <v>183.87</v>
          </cell>
        </row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193.86</v>
          </cell>
        </row>
        <row r="123">
          <cell r="H123">
            <v>194.07</v>
          </cell>
        </row>
        <row r="124">
          <cell r="H124">
            <v>194.2</v>
          </cell>
        </row>
        <row r="125">
          <cell r="H125">
            <v>194.18</v>
          </cell>
        </row>
        <row r="126">
          <cell r="H126">
            <v>194.71</v>
          </cell>
        </row>
        <row r="127">
          <cell r="H127">
            <v>195.24</v>
          </cell>
        </row>
        <row r="128">
          <cell r="H128">
            <v>195.63</v>
          </cell>
        </row>
        <row r="129">
          <cell r="H129">
            <v>196.26</v>
          </cell>
        </row>
        <row r="130">
          <cell r="H130">
            <v>197.08</v>
          </cell>
        </row>
        <row r="131">
          <cell r="H131">
            <v>198.2</v>
          </cell>
        </row>
        <row r="132">
          <cell r="H132">
            <v>199.66</v>
          </cell>
        </row>
        <row r="133">
          <cell r="H133">
            <v>200.38</v>
          </cell>
        </row>
      </sheetData>
      <sheetData sheetId="11">
        <row r="54">
          <cell r="D54">
            <v>2047.257665078125</v>
          </cell>
          <cell r="E54">
            <v>2075.0975883333331</v>
          </cell>
        </row>
        <row r="55">
          <cell r="D55">
            <v>2046.154365859375</v>
          </cell>
          <cell r="E55">
            <v>2072.7622078125</v>
          </cell>
        </row>
        <row r="56">
          <cell r="D56">
            <v>2050.5288351093745</v>
          </cell>
          <cell r="E56">
            <v>2070.9793652708336</v>
          </cell>
        </row>
        <row r="57">
          <cell r="D57">
            <v>2057.9538435022323</v>
          </cell>
          <cell r="E57">
            <v>2070.6144097202387</v>
          </cell>
        </row>
        <row r="58">
          <cell r="D58">
            <v>2065.1042416763394</v>
          </cell>
          <cell r="E58">
            <v>2073.4202189404759</v>
          </cell>
        </row>
        <row r="59">
          <cell r="D59">
            <v>2070.208705448661</v>
          </cell>
          <cell r="E59">
            <v>2074.4718858303572</v>
          </cell>
        </row>
        <row r="60">
          <cell r="D60">
            <v>2075.7667736205358</v>
          </cell>
          <cell r="E60">
            <v>2078.0934502470236</v>
          </cell>
        </row>
        <row r="61">
          <cell r="D61">
            <v>2083.1629894464286</v>
          </cell>
          <cell r="E61">
            <v>2083.4605320476189</v>
          </cell>
        </row>
        <row r="62">
          <cell r="D62">
            <v>2092.6853822098215</v>
          </cell>
          <cell r="E62">
            <v>2089.9624981398811</v>
          </cell>
        </row>
        <row r="63">
          <cell r="D63">
            <v>2103.67658390625</v>
          </cell>
          <cell r="E63">
            <v>2099.3336831249999</v>
          </cell>
        </row>
        <row r="64">
          <cell r="D64">
            <v>2121.4649248437499</v>
          </cell>
          <cell r="E64">
            <v>2118.8191253125001</v>
          </cell>
        </row>
        <row r="65">
          <cell r="D65">
            <v>2139.9674865625002</v>
          </cell>
          <cell r="E65">
            <v>2139.8777234375002</v>
          </cell>
        </row>
        <row r="66">
          <cell r="D66">
            <v>2155.4573617968749</v>
          </cell>
          <cell r="E66">
            <v>2157.7392184374999</v>
          </cell>
        </row>
        <row r="67">
          <cell r="D67">
            <v>2172.5562767187498</v>
          </cell>
          <cell r="E67">
            <v>2175.6324212500003</v>
          </cell>
        </row>
        <row r="68">
          <cell r="D68">
            <v>2188.3282736718747</v>
          </cell>
          <cell r="E68">
            <v>2189.6208656250001</v>
          </cell>
        </row>
        <row r="69">
          <cell r="D69">
            <v>2202.6592412500004</v>
          </cell>
          <cell r="E69">
            <v>2203.3705943750001</v>
          </cell>
        </row>
        <row r="70">
          <cell r="D70">
            <v>2219.6668832812502</v>
          </cell>
          <cell r="E70">
            <v>2227.7073512500001</v>
          </cell>
        </row>
        <row r="71">
          <cell r="D71">
            <v>2239.006476171875</v>
          </cell>
          <cell r="E71">
            <v>2252.6328937500002</v>
          </cell>
        </row>
        <row r="72">
          <cell r="D72">
            <v>2257.4206734374998</v>
          </cell>
          <cell r="E72">
            <v>2274.9976849999998</v>
          </cell>
        </row>
        <row r="73">
          <cell r="D73">
            <v>2275.5617031249999</v>
          </cell>
          <cell r="E73">
            <v>2296.7677665625006</v>
          </cell>
        </row>
        <row r="74">
          <cell r="D74">
            <v>2293.586478515625</v>
          </cell>
          <cell r="E74">
            <v>2310.575920625</v>
          </cell>
        </row>
        <row r="75">
          <cell r="D75">
            <v>2307.5486684374996</v>
          </cell>
          <cell r="E75">
            <v>2322.5219765625002</v>
          </cell>
        </row>
        <row r="76">
          <cell r="D76">
            <v>2316.0157391406246</v>
          </cell>
          <cell r="E76">
            <v>2330.3812862499999</v>
          </cell>
        </row>
        <row r="77">
          <cell r="D77">
            <v>2319.8966374218749</v>
          </cell>
          <cell r="E77">
            <v>2333.2555071874999</v>
          </cell>
        </row>
        <row r="78">
          <cell r="D78">
            <v>2316.4368912499999</v>
          </cell>
          <cell r="E78">
            <v>2328.6463168749997</v>
          </cell>
        </row>
        <row r="79">
          <cell r="D79">
            <v>2308.4052721093749</v>
          </cell>
          <cell r="E79">
            <v>2320.7975212499996</v>
          </cell>
        </row>
        <row r="80">
          <cell r="D80">
            <v>2301.2550189843751</v>
          </cell>
          <cell r="E80">
            <v>2313.59063625</v>
          </cell>
        </row>
        <row r="81">
          <cell r="D81">
            <v>2296.5396237499999</v>
          </cell>
          <cell r="E81">
            <v>2308.1697937499998</v>
          </cell>
        </row>
        <row r="82">
          <cell r="D82">
            <v>2299.4008416406245</v>
          </cell>
          <cell r="E82">
            <v>2311.2435409374998</v>
          </cell>
        </row>
        <row r="83">
          <cell r="D83">
            <v>2309.76593328125</v>
          </cell>
          <cell r="E83">
            <v>2323.7941315624998</v>
          </cell>
        </row>
        <row r="84">
          <cell r="D84">
            <v>2326.2998086718749</v>
          </cell>
          <cell r="E84">
            <v>2340.8039171874998</v>
          </cell>
        </row>
        <row r="85">
          <cell r="D85">
            <v>2343.8064457812497</v>
          </cell>
          <cell r="E85">
            <v>2360.0865974999997</v>
          </cell>
        </row>
        <row r="86">
          <cell r="D86">
            <v>2363.7419721874999</v>
          </cell>
          <cell r="E86">
            <v>2380.3326815624996</v>
          </cell>
        </row>
        <row r="87">
          <cell r="D87">
            <v>2386.9934075000001</v>
          </cell>
          <cell r="E87">
            <v>2404.1550571875</v>
          </cell>
        </row>
        <row r="88">
          <cell r="D88">
            <v>2413.5249035156248</v>
          </cell>
          <cell r="E88">
            <v>2433.3168421874998</v>
          </cell>
        </row>
        <row r="89">
          <cell r="D89">
            <v>2441.1228667187502</v>
          </cell>
          <cell r="E89">
            <v>2467.6029853125001</v>
          </cell>
        </row>
        <row r="90">
          <cell r="D90">
            <v>2459.1268375</v>
          </cell>
          <cell r="E90">
            <v>2494.1881793749999</v>
          </cell>
        </row>
        <row r="91">
          <cell r="D91">
            <v>2468.9556631249998</v>
          </cell>
          <cell r="E91">
            <v>2508.1578743749997</v>
          </cell>
        </row>
        <row r="92">
          <cell r="D92">
            <v>2469.0078392968749</v>
          </cell>
          <cell r="E92">
            <v>2510.4392250000001</v>
          </cell>
        </row>
        <row r="93">
          <cell r="D93">
            <v>2466.8168924218749</v>
          </cell>
          <cell r="E93">
            <v>2504.0701937499998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8">
          <cell r="E18">
            <v>1.4071004226562505</v>
          </cell>
        </row>
        <row r="19">
          <cell r="E19">
            <v>1.4071004226562505</v>
          </cell>
        </row>
        <row r="20">
          <cell r="E20">
            <v>1.4071004226562505</v>
          </cell>
        </row>
        <row r="21">
          <cell r="E21">
            <v>1.3400956406250004</v>
          </cell>
        </row>
        <row r="22">
          <cell r="E22">
            <v>1.3400956406250004</v>
          </cell>
        </row>
        <row r="23">
          <cell r="E23">
            <v>1.3400956406250004</v>
          </cell>
        </row>
        <row r="24">
          <cell r="E24">
            <v>1.3400956406250004</v>
          </cell>
        </row>
        <row r="25">
          <cell r="E25">
            <v>1.2762815625000004</v>
          </cell>
        </row>
        <row r="26">
          <cell r="E26">
            <v>1.2762815625000004</v>
          </cell>
        </row>
        <row r="27">
          <cell r="E27">
            <v>1.2762815625000004</v>
          </cell>
        </row>
        <row r="28">
          <cell r="E28">
            <v>1.2762815625000004</v>
          </cell>
        </row>
        <row r="29">
          <cell r="E29">
            <v>1.2155062500000002</v>
          </cell>
        </row>
        <row r="30">
          <cell r="E30">
            <v>1.2155062500000002</v>
          </cell>
        </row>
        <row r="31">
          <cell r="E31">
            <v>1.2155062500000002</v>
          </cell>
        </row>
        <row r="32">
          <cell r="E32">
            <v>1.2155062500000002</v>
          </cell>
        </row>
        <row r="33">
          <cell r="E33">
            <v>1.1576250000000001</v>
          </cell>
        </row>
        <row r="34">
          <cell r="E34">
            <v>1.1576250000000001</v>
          </cell>
        </row>
        <row r="35">
          <cell r="E35">
            <v>1.1576250000000001</v>
          </cell>
        </row>
        <row r="36">
          <cell r="E36">
            <v>1.1576250000000001</v>
          </cell>
        </row>
        <row r="37">
          <cell r="E37">
            <v>1.1025</v>
          </cell>
        </row>
        <row r="38">
          <cell r="E38">
            <v>1.1025</v>
          </cell>
        </row>
        <row r="39">
          <cell r="E39">
            <v>1.1025</v>
          </cell>
        </row>
        <row r="40">
          <cell r="E40">
            <v>1.1025</v>
          </cell>
        </row>
        <row r="41">
          <cell r="E41">
            <v>1.05</v>
          </cell>
        </row>
        <row r="42">
          <cell r="E42">
            <v>1.05</v>
          </cell>
        </row>
        <row r="43">
          <cell r="E43">
            <v>1.05</v>
          </cell>
        </row>
        <row r="44">
          <cell r="E44">
            <v>1.05</v>
          </cell>
        </row>
        <row r="45">
          <cell r="E45">
            <v>1.05</v>
          </cell>
        </row>
        <row r="46">
          <cell r="E46">
            <v>1.05</v>
          </cell>
        </row>
        <row r="47">
          <cell r="E47">
            <v>1.05</v>
          </cell>
        </row>
        <row r="48">
          <cell r="E48">
            <v>1.05</v>
          </cell>
        </row>
        <row r="49">
          <cell r="E49">
            <v>1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2"/>
      <sheetName val="2.1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12911</v>
          </cell>
        </row>
        <row r="15">
          <cell r="E15">
            <v>2512</v>
          </cell>
        </row>
        <row r="16">
          <cell r="E16">
            <v>796</v>
          </cell>
        </row>
        <row r="17">
          <cell r="E17">
            <v>148999</v>
          </cell>
        </row>
        <row r="18">
          <cell r="E18">
            <v>999</v>
          </cell>
        </row>
        <row r="19">
          <cell r="E19">
            <v>512</v>
          </cell>
        </row>
        <row r="20">
          <cell r="E20">
            <v>881</v>
          </cell>
        </row>
        <row r="21">
          <cell r="E21">
            <v>1897</v>
          </cell>
        </row>
        <row r="22">
          <cell r="E22">
            <v>1160</v>
          </cell>
        </row>
        <row r="23">
          <cell r="E23">
            <v>12296</v>
          </cell>
        </row>
        <row r="24">
          <cell r="E24">
            <v>335</v>
          </cell>
        </row>
        <row r="25">
          <cell r="E25">
            <v>1217</v>
          </cell>
        </row>
        <row r="26">
          <cell r="E26">
            <v>489</v>
          </cell>
        </row>
        <row r="27">
          <cell r="E27">
            <v>3375</v>
          </cell>
        </row>
        <row r="28">
          <cell r="E28">
            <v>679</v>
          </cell>
        </row>
        <row r="29">
          <cell r="E29">
            <v>2977</v>
          </cell>
        </row>
        <row r="30">
          <cell r="E30">
            <v>1166</v>
          </cell>
        </row>
        <row r="31">
          <cell r="E31">
            <v>2964</v>
          </cell>
        </row>
        <row r="32">
          <cell r="E32">
            <v>22401</v>
          </cell>
        </row>
        <row r="33">
          <cell r="E33">
            <v>8773</v>
          </cell>
        </row>
        <row r="34">
          <cell r="E34">
            <v>6227</v>
          </cell>
        </row>
        <row r="35">
          <cell r="E35">
            <v>24605</v>
          </cell>
        </row>
        <row r="36">
          <cell r="E36">
            <v>5167</v>
          </cell>
        </row>
        <row r="37">
          <cell r="E37">
            <v>155001</v>
          </cell>
        </row>
        <row r="38">
          <cell r="E38">
            <v>5167</v>
          </cell>
        </row>
        <row r="39">
          <cell r="E39">
            <v>154981</v>
          </cell>
        </row>
        <row r="40">
          <cell r="E40">
            <v>4276</v>
          </cell>
        </row>
        <row r="41">
          <cell r="E41">
            <v>15745</v>
          </cell>
        </row>
        <row r="42">
          <cell r="E42">
            <v>2583017</v>
          </cell>
        </row>
        <row r="43">
          <cell r="E43">
            <v>18005</v>
          </cell>
        </row>
        <row r="44">
          <cell r="E44">
            <v>96089</v>
          </cell>
        </row>
        <row r="45">
          <cell r="E45">
            <v>67497</v>
          </cell>
        </row>
        <row r="46">
          <cell r="C46">
            <v>67497</v>
          </cell>
          <cell r="D46">
            <v>1</v>
          </cell>
          <cell r="E46">
            <v>70825</v>
          </cell>
        </row>
        <row r="47">
          <cell r="C47">
            <v>70825</v>
          </cell>
          <cell r="D47">
            <v>1</v>
          </cell>
          <cell r="E47">
            <v>70825</v>
          </cell>
        </row>
        <row r="48">
          <cell r="C48">
            <v>7012</v>
          </cell>
          <cell r="D48">
            <v>0.997</v>
          </cell>
          <cell r="E48">
            <v>6991</v>
          </cell>
        </row>
        <row r="49">
          <cell r="C49">
            <v>138801</v>
          </cell>
          <cell r="D49">
            <v>0.997</v>
          </cell>
          <cell r="E49">
            <v>138385</v>
          </cell>
        </row>
        <row r="50">
          <cell r="C50">
            <v>28523</v>
          </cell>
          <cell r="D50">
            <v>0.98699999999999999</v>
          </cell>
          <cell r="E50">
            <v>28152</v>
          </cell>
        </row>
        <row r="51">
          <cell r="C51">
            <v>1445588</v>
          </cell>
          <cell r="D51">
            <v>0.99961891142702086</v>
          </cell>
          <cell r="E51">
            <v>1445037.1029319642</v>
          </cell>
        </row>
        <row r="52">
          <cell r="C52">
            <v>12326</v>
          </cell>
          <cell r="E52">
            <v>11956</v>
          </cell>
        </row>
        <row r="53">
          <cell r="C53">
            <v>18155</v>
          </cell>
          <cell r="D53">
            <v>0.99199999999999999</v>
          </cell>
          <cell r="E53">
            <v>18010</v>
          </cell>
        </row>
      </sheetData>
      <sheetData sheetId="14">
        <row r="14">
          <cell r="C14">
            <v>15215</v>
          </cell>
          <cell r="D14">
            <v>18166</v>
          </cell>
          <cell r="E14">
            <v>18173</v>
          </cell>
          <cell r="F14">
            <v>18522</v>
          </cell>
          <cell r="G14">
            <v>18361</v>
          </cell>
          <cell r="H14">
            <v>18267</v>
          </cell>
          <cell r="I14">
            <v>18005</v>
          </cell>
        </row>
        <row r="15">
          <cell r="C15">
            <v>94870</v>
          </cell>
          <cell r="D15">
            <v>96967</v>
          </cell>
          <cell r="E15">
            <v>97503</v>
          </cell>
          <cell r="F15">
            <v>96828</v>
          </cell>
          <cell r="G15">
            <v>96263</v>
          </cell>
          <cell r="H15">
            <v>95964</v>
          </cell>
          <cell r="I15">
            <v>96089</v>
          </cell>
        </row>
        <row r="16">
          <cell r="C16">
            <v>62722</v>
          </cell>
          <cell r="D16">
            <v>69764</v>
          </cell>
          <cell r="E16">
            <v>67287</v>
          </cell>
          <cell r="F16">
            <v>66724</v>
          </cell>
          <cell r="G16">
            <v>66328</v>
          </cell>
          <cell r="H16">
            <v>67658</v>
          </cell>
          <cell r="I16">
            <v>67497</v>
          </cell>
        </row>
        <row r="17">
          <cell r="C17">
            <v>77204</v>
          </cell>
          <cell r="D17">
            <v>75204</v>
          </cell>
          <cell r="E17">
            <v>72860</v>
          </cell>
          <cell r="F17">
            <v>71823</v>
          </cell>
          <cell r="G17">
            <v>71286</v>
          </cell>
          <cell r="H17">
            <v>71068</v>
          </cell>
          <cell r="I17">
            <v>70825</v>
          </cell>
        </row>
        <row r="18">
          <cell r="C18">
            <v>6739</v>
          </cell>
          <cell r="D18">
            <v>7854</v>
          </cell>
          <cell r="E18">
            <v>7298</v>
          </cell>
          <cell r="F18">
            <v>7261</v>
          </cell>
          <cell r="G18">
            <v>7068</v>
          </cell>
          <cell r="H18">
            <v>7012</v>
          </cell>
        </row>
        <row r="19">
          <cell r="C19">
            <v>147927</v>
          </cell>
          <cell r="D19">
            <v>139955</v>
          </cell>
          <cell r="E19">
            <v>140459</v>
          </cell>
          <cell r="F19">
            <v>139777</v>
          </cell>
          <cell r="G19">
            <v>138801</v>
          </cell>
        </row>
        <row r="20">
          <cell r="C20">
            <v>31292</v>
          </cell>
          <cell r="D20">
            <v>29612</v>
          </cell>
          <cell r="E20">
            <v>28908</v>
          </cell>
          <cell r="F20">
            <v>28523</v>
          </cell>
        </row>
        <row r="21">
          <cell r="C21">
            <v>1278467</v>
          </cell>
          <cell r="D21">
            <v>1373877</v>
          </cell>
          <cell r="E21">
            <v>1445588</v>
          </cell>
        </row>
        <row r="22">
          <cell r="C22">
            <v>13197</v>
          </cell>
          <cell r="D22">
            <v>12326</v>
          </cell>
        </row>
        <row r="23">
          <cell r="C23">
            <v>18155</v>
          </cell>
          <cell r="M23">
            <v>43830</v>
          </cell>
        </row>
        <row r="46">
          <cell r="C46">
            <v>1.0409999999999999</v>
          </cell>
          <cell r="D46">
            <v>0.97699999999999998</v>
          </cell>
          <cell r="E46">
            <v>0.996</v>
          </cell>
          <cell r="F46">
            <v>0.99</v>
          </cell>
          <cell r="G46">
            <v>1</v>
          </cell>
          <cell r="H46">
            <v>0.997</v>
          </cell>
          <cell r="I46">
            <v>1</v>
          </cell>
        </row>
        <row r="47">
          <cell r="C47">
            <v>1.0229999999999999</v>
          </cell>
          <cell r="D47">
            <v>0.99</v>
          </cell>
          <cell r="E47">
            <v>0.99299999999999999</v>
          </cell>
          <cell r="F47">
            <v>0.99</v>
          </cell>
          <cell r="G47">
            <v>1</v>
          </cell>
          <cell r="H47">
            <v>0.997</v>
          </cell>
          <cell r="I47">
            <v>1</v>
          </cell>
        </row>
      </sheetData>
      <sheetData sheetId="15">
        <row r="13">
          <cell r="G13">
            <v>1318</v>
          </cell>
        </row>
        <row r="14">
          <cell r="G14">
            <v>543</v>
          </cell>
        </row>
        <row r="15">
          <cell r="G15">
            <v>565</v>
          </cell>
        </row>
        <row r="16">
          <cell r="G16">
            <v>9127</v>
          </cell>
        </row>
        <row r="17">
          <cell r="G17">
            <v>324</v>
          </cell>
        </row>
        <row r="18">
          <cell r="G18">
            <v>297</v>
          </cell>
        </row>
        <row r="19">
          <cell r="E19">
            <v>270</v>
          </cell>
          <cell r="F19">
            <v>235</v>
          </cell>
          <cell r="G19">
            <v>505</v>
          </cell>
        </row>
        <row r="20">
          <cell r="E20">
            <v>652</v>
          </cell>
          <cell r="F20">
            <v>404</v>
          </cell>
          <cell r="G20">
            <v>1056</v>
          </cell>
        </row>
        <row r="21">
          <cell r="E21">
            <v>235</v>
          </cell>
          <cell r="F21">
            <v>122</v>
          </cell>
          <cell r="G21">
            <v>357</v>
          </cell>
        </row>
        <row r="22">
          <cell r="E22">
            <v>2727</v>
          </cell>
          <cell r="F22">
            <v>801</v>
          </cell>
          <cell r="G22">
            <v>3528</v>
          </cell>
        </row>
        <row r="23">
          <cell r="E23">
            <v>119</v>
          </cell>
          <cell r="F23">
            <v>106</v>
          </cell>
          <cell r="G23">
            <v>225</v>
          </cell>
        </row>
        <row r="24">
          <cell r="E24">
            <v>403</v>
          </cell>
          <cell r="F24">
            <v>326</v>
          </cell>
          <cell r="G24">
            <v>729</v>
          </cell>
        </row>
        <row r="25">
          <cell r="E25">
            <v>270</v>
          </cell>
          <cell r="F25">
            <v>284</v>
          </cell>
          <cell r="G25">
            <v>554</v>
          </cell>
        </row>
        <row r="26">
          <cell r="E26">
            <v>806</v>
          </cell>
          <cell r="F26">
            <v>569</v>
          </cell>
          <cell r="G26">
            <v>1375</v>
          </cell>
        </row>
        <row r="27">
          <cell r="E27">
            <v>192</v>
          </cell>
          <cell r="F27">
            <v>315</v>
          </cell>
          <cell r="G27">
            <v>507</v>
          </cell>
        </row>
        <row r="28">
          <cell r="E28">
            <v>698</v>
          </cell>
          <cell r="F28">
            <v>205</v>
          </cell>
          <cell r="G28">
            <v>903</v>
          </cell>
        </row>
        <row r="29">
          <cell r="E29">
            <v>355</v>
          </cell>
          <cell r="F29">
            <v>227</v>
          </cell>
          <cell r="G29">
            <v>582</v>
          </cell>
        </row>
        <row r="30">
          <cell r="E30">
            <v>892</v>
          </cell>
          <cell r="F30">
            <v>451</v>
          </cell>
          <cell r="G30">
            <v>1343</v>
          </cell>
        </row>
        <row r="31">
          <cell r="E31">
            <v>3920</v>
          </cell>
          <cell r="F31">
            <v>812</v>
          </cell>
          <cell r="G31">
            <v>4732</v>
          </cell>
        </row>
        <row r="32">
          <cell r="E32">
            <v>1757</v>
          </cell>
          <cell r="F32">
            <v>631</v>
          </cell>
          <cell r="G32">
            <v>2388</v>
          </cell>
        </row>
        <row r="33">
          <cell r="E33">
            <v>1209</v>
          </cell>
          <cell r="F33">
            <v>676</v>
          </cell>
          <cell r="G33">
            <v>1885</v>
          </cell>
        </row>
        <row r="34">
          <cell r="E34">
            <v>1207</v>
          </cell>
          <cell r="F34">
            <v>673</v>
          </cell>
          <cell r="G34">
            <v>1880</v>
          </cell>
        </row>
        <row r="35">
          <cell r="E35">
            <v>3643</v>
          </cell>
          <cell r="F35">
            <v>1583</v>
          </cell>
          <cell r="G35">
            <v>5226</v>
          </cell>
        </row>
        <row r="36">
          <cell r="E36">
            <v>3239</v>
          </cell>
          <cell r="F36">
            <v>1883</v>
          </cell>
          <cell r="G36">
            <v>5122</v>
          </cell>
        </row>
        <row r="37">
          <cell r="E37">
            <v>844</v>
          </cell>
          <cell r="F37">
            <v>627</v>
          </cell>
          <cell r="G37">
            <v>1471</v>
          </cell>
        </row>
        <row r="38">
          <cell r="E38">
            <v>15229</v>
          </cell>
          <cell r="F38">
            <v>5006</v>
          </cell>
          <cell r="G38">
            <v>20235</v>
          </cell>
        </row>
        <row r="39">
          <cell r="E39">
            <v>860</v>
          </cell>
          <cell r="F39">
            <v>250</v>
          </cell>
          <cell r="G39">
            <v>1110</v>
          </cell>
        </row>
        <row r="40">
          <cell r="E40">
            <v>2489</v>
          </cell>
          <cell r="F40">
            <v>2452</v>
          </cell>
          <cell r="G40">
            <v>4941</v>
          </cell>
        </row>
        <row r="41">
          <cell r="C41">
            <v>99668</v>
          </cell>
          <cell r="D41">
            <v>1</v>
          </cell>
          <cell r="E41">
            <v>99668</v>
          </cell>
          <cell r="F41">
            <v>246947</v>
          </cell>
          <cell r="G41">
            <v>346615</v>
          </cell>
        </row>
        <row r="42">
          <cell r="C42">
            <v>223</v>
          </cell>
          <cell r="D42">
            <v>1</v>
          </cell>
          <cell r="E42">
            <v>223</v>
          </cell>
          <cell r="F42">
            <v>1996</v>
          </cell>
          <cell r="G42">
            <v>2219</v>
          </cell>
        </row>
        <row r="43">
          <cell r="C43">
            <v>323</v>
          </cell>
          <cell r="D43">
            <v>1</v>
          </cell>
          <cell r="E43">
            <v>323</v>
          </cell>
          <cell r="F43">
            <v>3951</v>
          </cell>
          <cell r="G43">
            <v>4274</v>
          </cell>
        </row>
        <row r="44">
          <cell r="C44">
            <v>725</v>
          </cell>
          <cell r="D44">
            <v>1</v>
          </cell>
          <cell r="E44">
            <v>725</v>
          </cell>
          <cell r="F44">
            <v>14386</v>
          </cell>
          <cell r="G44">
            <v>15111</v>
          </cell>
        </row>
        <row r="45">
          <cell r="C45">
            <v>871</v>
          </cell>
          <cell r="D45">
            <v>1</v>
          </cell>
          <cell r="E45">
            <v>871</v>
          </cell>
          <cell r="F45">
            <v>14961</v>
          </cell>
          <cell r="G45">
            <v>15832</v>
          </cell>
        </row>
        <row r="46">
          <cell r="C46">
            <v>901</v>
          </cell>
          <cell r="D46">
            <v>1</v>
          </cell>
          <cell r="E46">
            <v>901</v>
          </cell>
          <cell r="F46">
            <v>12926</v>
          </cell>
          <cell r="G46">
            <v>13827</v>
          </cell>
        </row>
        <row r="47">
          <cell r="C47">
            <v>1028</v>
          </cell>
          <cell r="D47">
            <v>0.98099999999999998</v>
          </cell>
          <cell r="E47">
            <v>1008</v>
          </cell>
          <cell r="F47">
            <v>5796</v>
          </cell>
          <cell r="G47">
            <v>6804</v>
          </cell>
        </row>
        <row r="48">
          <cell r="C48">
            <v>2944</v>
          </cell>
          <cell r="D48">
            <v>0.97299999999999998</v>
          </cell>
          <cell r="E48">
            <v>2865</v>
          </cell>
          <cell r="F48">
            <v>37053</v>
          </cell>
          <cell r="G48">
            <v>39918</v>
          </cell>
        </row>
        <row r="49">
          <cell r="C49">
            <v>571</v>
          </cell>
          <cell r="D49">
            <v>0.98099999999999998</v>
          </cell>
          <cell r="E49">
            <v>560</v>
          </cell>
          <cell r="F49">
            <v>14885</v>
          </cell>
          <cell r="G49">
            <v>15445</v>
          </cell>
        </row>
        <row r="50">
          <cell r="C50">
            <v>21865</v>
          </cell>
          <cell r="D50">
            <v>1.0629999999999999</v>
          </cell>
          <cell r="E50">
            <v>23242</v>
          </cell>
          <cell r="F50">
            <v>266503</v>
          </cell>
          <cell r="G50">
            <v>289745</v>
          </cell>
        </row>
        <row r="51">
          <cell r="C51">
            <v>361</v>
          </cell>
          <cell r="D51">
            <v>1.169</v>
          </cell>
          <cell r="E51">
            <v>422</v>
          </cell>
          <cell r="F51">
            <v>6378</v>
          </cell>
          <cell r="G51">
            <v>6800</v>
          </cell>
        </row>
        <row r="52">
          <cell r="C52">
            <v>48</v>
          </cell>
          <cell r="D52">
            <v>1.403</v>
          </cell>
          <cell r="E52">
            <v>67</v>
          </cell>
          <cell r="F52">
            <v>8378</v>
          </cell>
          <cell r="G52">
            <v>8445</v>
          </cell>
        </row>
        <row r="57">
          <cell r="B57" t="str">
            <v>(4) 2008 - 2019: (2) * (3); 1986 - 2007: from TWIA's annual statements</v>
          </cell>
        </row>
        <row r="59">
          <cell r="B59" t="str">
            <v>(6) 1986 - 2019: (4) + (5); prior years from prior TWIA annual statements</v>
          </cell>
        </row>
      </sheetData>
      <sheetData sheetId="16">
        <row r="14">
          <cell r="C14">
            <v>7335</v>
          </cell>
          <cell r="D14">
            <v>359</v>
          </cell>
          <cell r="E14">
            <v>226</v>
          </cell>
          <cell r="F14">
            <v>231</v>
          </cell>
          <cell r="G14">
            <v>223</v>
          </cell>
          <cell r="H14">
            <v>223</v>
          </cell>
          <cell r="I14">
            <v>223</v>
          </cell>
        </row>
        <row r="15">
          <cell r="C15">
            <v>391</v>
          </cell>
          <cell r="D15">
            <v>312</v>
          </cell>
          <cell r="E15">
            <v>322</v>
          </cell>
          <cell r="F15">
            <v>316</v>
          </cell>
          <cell r="G15">
            <v>335</v>
          </cell>
          <cell r="H15">
            <v>324</v>
          </cell>
          <cell r="I15">
            <v>323</v>
          </cell>
        </row>
        <row r="16">
          <cell r="C16">
            <v>515</v>
          </cell>
          <cell r="D16">
            <v>592</v>
          </cell>
          <cell r="E16">
            <v>609</v>
          </cell>
          <cell r="F16">
            <v>682</v>
          </cell>
          <cell r="G16">
            <v>629</v>
          </cell>
          <cell r="H16">
            <v>745</v>
          </cell>
          <cell r="I16">
            <v>725</v>
          </cell>
        </row>
        <row r="17">
          <cell r="C17">
            <v>516</v>
          </cell>
          <cell r="D17">
            <v>679</v>
          </cell>
          <cell r="E17">
            <v>719</v>
          </cell>
          <cell r="F17">
            <v>632</v>
          </cell>
          <cell r="G17">
            <v>917</v>
          </cell>
          <cell r="H17">
            <v>880</v>
          </cell>
          <cell r="I17">
            <v>871</v>
          </cell>
        </row>
        <row r="18">
          <cell r="C18">
            <v>802</v>
          </cell>
          <cell r="D18">
            <v>806</v>
          </cell>
          <cell r="E18">
            <v>715</v>
          </cell>
          <cell r="F18">
            <v>1089</v>
          </cell>
          <cell r="G18">
            <v>991</v>
          </cell>
          <cell r="H18">
            <v>971</v>
          </cell>
          <cell r="I18">
            <v>901</v>
          </cell>
        </row>
        <row r="19">
          <cell r="C19">
            <v>516</v>
          </cell>
          <cell r="D19">
            <v>493</v>
          </cell>
          <cell r="E19">
            <v>1085</v>
          </cell>
          <cell r="F19">
            <v>1266</v>
          </cell>
          <cell r="G19">
            <v>1077</v>
          </cell>
          <cell r="H19">
            <v>1028</v>
          </cell>
        </row>
        <row r="20">
          <cell r="C20">
            <v>973</v>
          </cell>
          <cell r="D20">
            <v>1818</v>
          </cell>
          <cell r="E20">
            <v>2355</v>
          </cell>
          <cell r="F20">
            <v>2749</v>
          </cell>
          <cell r="G20">
            <v>2944</v>
          </cell>
        </row>
        <row r="21">
          <cell r="C21">
            <v>412</v>
          </cell>
          <cell r="D21">
            <v>678</v>
          </cell>
          <cell r="E21">
            <v>746</v>
          </cell>
          <cell r="F21">
            <v>571</v>
          </cell>
        </row>
        <row r="22">
          <cell r="C22">
            <v>891</v>
          </cell>
          <cell r="D22">
            <v>16490</v>
          </cell>
          <cell r="E22">
            <v>21865</v>
          </cell>
        </row>
        <row r="23">
          <cell r="C23">
            <v>301</v>
          </cell>
          <cell r="D23">
            <v>361</v>
          </cell>
          <cell r="L23">
            <v>43830</v>
          </cell>
        </row>
        <row r="24">
          <cell r="C24">
            <v>48</v>
          </cell>
        </row>
        <row r="48">
          <cell r="C48">
            <v>1.2</v>
          </cell>
          <cell r="D48">
            <v>1.1000000000000001</v>
          </cell>
          <cell r="E48">
            <v>1.0840000000000001</v>
          </cell>
          <cell r="F48">
            <v>1.008</v>
          </cell>
          <cell r="G48">
            <v>0.99199999999999999</v>
          </cell>
          <cell r="H48">
            <v>0.98099999999999998</v>
          </cell>
          <cell r="I4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3">
          <cell r="B33" t="str">
            <v>Inforce-Premium as of 11/30/19 at Present Rates</v>
          </cell>
        </row>
      </sheetData>
      <sheetData sheetId="26"/>
      <sheetData sheetId="27"/>
      <sheetData sheetId="28"/>
      <sheetData sheetId="29"/>
      <sheetData sheetId="30">
        <row r="1">
          <cell r="J1" t="str">
            <v>Exhibit 10</v>
          </cell>
        </row>
        <row r="2">
          <cell r="J2" t="str">
            <v>Sheet 1</v>
          </cell>
        </row>
      </sheetData>
      <sheetData sheetId="31"/>
      <sheetData sheetId="32"/>
      <sheetData sheetId="33">
        <row r="14">
          <cell r="D14">
            <v>423074138</v>
          </cell>
          <cell r="E14">
            <v>395551679</v>
          </cell>
          <cell r="F14">
            <v>372016601</v>
          </cell>
        </row>
        <row r="15">
          <cell r="D15">
            <v>451347130</v>
          </cell>
          <cell r="E15">
            <v>409954258</v>
          </cell>
          <cell r="F15">
            <v>381571182</v>
          </cell>
        </row>
        <row r="18">
          <cell r="D18">
            <v>67661211</v>
          </cell>
          <cell r="E18">
            <v>63280811</v>
          </cell>
          <cell r="F18">
            <v>59474929</v>
          </cell>
        </row>
        <row r="19">
          <cell r="G19">
            <v>0.16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G23">
            <v>0</v>
          </cell>
        </row>
        <row r="26">
          <cell r="D26">
            <v>26359831</v>
          </cell>
          <cell r="E26">
            <v>30687177</v>
          </cell>
          <cell r="F26">
            <v>31461936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2">
          <cell r="G32">
            <v>8.5103714944594525E-2</v>
          </cell>
        </row>
        <row r="35">
          <cell r="D35">
            <v>8281293</v>
          </cell>
          <cell r="E35">
            <v>7590295</v>
          </cell>
          <cell r="F35">
            <v>7024246</v>
          </cell>
        </row>
        <row r="36">
          <cell r="G36">
            <v>1.9E-2</v>
          </cell>
        </row>
        <row r="38">
          <cell r="G38">
            <v>0.19533574528489203</v>
          </cell>
        </row>
        <row r="40">
          <cell r="A40" t="str">
            <v>(8)</v>
          </cell>
          <cell r="B40" t="str">
            <v>Outstanding Class 1 Public Security Repayment</v>
          </cell>
          <cell r="G40">
            <v>0.19700000000000001</v>
          </cell>
        </row>
        <row r="42">
          <cell r="A42" t="str">
            <v>(9)</v>
          </cell>
          <cell r="B42" t="str">
            <v>Total Fixed Expenses</v>
          </cell>
          <cell r="G42">
            <v>0.47743946022948658</v>
          </cell>
        </row>
        <row r="44">
          <cell r="A44" t="str">
            <v>(10)</v>
          </cell>
          <cell r="B44" t="str">
            <v>Total Variable Expenses</v>
          </cell>
          <cell r="G44">
            <v>0.17899999999999999</v>
          </cell>
        </row>
        <row r="46">
          <cell r="A46" t="str">
            <v>(11)</v>
          </cell>
          <cell r="B46" t="str">
            <v>CRTF Contribution &amp; UW Contingency &amp; Uncertainty</v>
          </cell>
          <cell r="G46">
            <v>0.05</v>
          </cell>
        </row>
        <row r="54">
          <cell r="B54" t="str">
            <v>(1) - (6) From TWIA's Statutory Annual Statements and Insurance Expense Exhibits</v>
          </cell>
        </row>
        <row r="55">
          <cell r="B55" t="str">
            <v>(7) Exhibit 11, Sheet 2</v>
          </cell>
        </row>
        <row r="56">
          <cell r="B56" t="str">
            <v xml:space="preserve">(8) Outstanding Class 1 Public Security issued in 2014, Security depleted due to Hurricane Harvey; </v>
          </cell>
        </row>
        <row r="57">
          <cell r="B57" t="str">
            <v>0.197= Annual principal and interest payment $68.9M/Prospective written premium at present rate$350.03M</v>
          </cell>
        </row>
        <row r="58">
          <cell r="B58" t="str">
            <v>$350.03M = TWIA 2019 written premium $372,016,601*(1-3%)^2; 3% from Exhibit 11, sheet 2, (3)</v>
          </cell>
        </row>
        <row r="59">
          <cell r="B59" t="str">
            <v>(9) = (5) + (7) + (8)</v>
          </cell>
        </row>
        <row r="60">
          <cell r="B60" t="str">
            <v>(10) = (3) + (4) + (6)</v>
          </cell>
        </row>
        <row r="61">
          <cell r="B61" t="str">
            <v>(11) CRTF contribution selected judgmentally; Class 1 repayment based on projected $80 million in debt service</v>
          </cell>
        </row>
        <row r="62">
          <cell r="B62" t="str">
            <v>(12) = 100% - (10) - (11)</v>
          </cell>
        </row>
      </sheetData>
      <sheetData sheetId="34">
        <row r="10">
          <cell r="D10">
            <v>102066435.825789</v>
          </cell>
          <cell r="J10">
            <v>43983</v>
          </cell>
          <cell r="K10">
            <v>44347</v>
          </cell>
        </row>
        <row r="13">
          <cell r="C13" t="str">
            <v>100% of $2100M XS $2100M</v>
          </cell>
          <cell r="D13">
            <v>34140092.867083572</v>
          </cell>
        </row>
        <row r="18">
          <cell r="J18">
            <v>0.97</v>
          </cell>
        </row>
        <row r="20">
          <cell r="D20">
            <v>19828158.497321021</v>
          </cell>
        </row>
        <row r="22">
          <cell r="D22">
            <v>26984125.682202294</v>
          </cell>
        </row>
        <row r="25">
          <cell r="L25">
            <v>62410281</v>
          </cell>
        </row>
        <row r="32">
          <cell r="D32">
            <v>368420247</v>
          </cell>
        </row>
        <row r="34">
          <cell r="D34">
            <v>0.19533574528489203</v>
          </cell>
        </row>
        <row r="43">
          <cell r="B43" t="str">
            <v>(4) = (2c) * [(1+ (3)) ^ 1.000](projected exposure growth from 11/30/2019 to 12/1/2020)</v>
          </cell>
        </row>
        <row r="46">
          <cell r="B46" t="str">
            <v>(7) = (6) adjusted for exposure growth trend * [(1+ (3)) ^ 1.417] (projected exposure growth from 7/1/2019 to 12/1/2020)</v>
          </cell>
        </row>
      </sheetData>
      <sheetData sheetId="35"/>
      <sheetData sheetId="36">
        <row r="14">
          <cell r="C14">
            <v>10672677</v>
          </cell>
          <cell r="D14">
            <v>15758330</v>
          </cell>
          <cell r="F14">
            <v>26510501</v>
          </cell>
        </row>
        <row r="15">
          <cell r="C15">
            <v>12865905</v>
          </cell>
          <cell r="D15">
            <v>19259265</v>
          </cell>
          <cell r="F15">
            <v>32419287</v>
          </cell>
        </row>
        <row r="16">
          <cell r="C16">
            <v>15640660</v>
          </cell>
          <cell r="D16">
            <v>24504127</v>
          </cell>
          <cell r="F16">
            <v>40358575</v>
          </cell>
        </row>
        <row r="17">
          <cell r="C17">
            <v>16536186</v>
          </cell>
          <cell r="D17">
            <v>25783455</v>
          </cell>
          <cell r="F17">
            <v>42462844</v>
          </cell>
        </row>
        <row r="18">
          <cell r="C18">
            <v>16558977</v>
          </cell>
          <cell r="D18">
            <v>27833800</v>
          </cell>
          <cell r="F18">
            <v>44410914</v>
          </cell>
        </row>
        <row r="19">
          <cell r="C19">
            <v>17394142.049999997</v>
          </cell>
          <cell r="D19">
            <v>27168992</v>
          </cell>
          <cell r="F19">
            <v>44581218</v>
          </cell>
        </row>
        <row r="20">
          <cell r="C20">
            <v>17332561</v>
          </cell>
          <cell r="D20">
            <v>29762296</v>
          </cell>
          <cell r="F20">
            <v>48012426</v>
          </cell>
        </row>
        <row r="21">
          <cell r="C21">
            <v>17544251</v>
          </cell>
          <cell r="D21">
            <v>36220622.519999996</v>
          </cell>
          <cell r="F21">
            <v>54630727</v>
          </cell>
        </row>
        <row r="22">
          <cell r="C22">
            <v>24013525</v>
          </cell>
          <cell r="D22">
            <v>48856422.25</v>
          </cell>
          <cell r="F22">
            <v>72967831</v>
          </cell>
        </row>
        <row r="23">
          <cell r="C23">
            <v>29220514</v>
          </cell>
          <cell r="D23">
            <v>58573191</v>
          </cell>
          <cell r="F23">
            <v>87987279</v>
          </cell>
        </row>
        <row r="24">
          <cell r="C24">
            <v>31009323</v>
          </cell>
          <cell r="D24">
            <v>71292702</v>
          </cell>
          <cell r="F24">
            <v>102384351</v>
          </cell>
        </row>
        <row r="25">
          <cell r="C25">
            <v>35740174</v>
          </cell>
          <cell r="D25">
            <v>78094458</v>
          </cell>
          <cell r="F25">
            <v>113927701</v>
          </cell>
        </row>
        <row r="26">
          <cell r="C26">
            <v>76847840</v>
          </cell>
          <cell r="D26">
            <v>119658576</v>
          </cell>
          <cell r="F26">
            <v>196833235</v>
          </cell>
        </row>
        <row r="27">
          <cell r="C27">
            <v>110951718</v>
          </cell>
          <cell r="D27">
            <v>203561196</v>
          </cell>
          <cell r="F27">
            <v>315139307</v>
          </cell>
        </row>
        <row r="28">
          <cell r="C28">
            <v>98036118.420000017</v>
          </cell>
          <cell r="D28">
            <v>232925989.76999998</v>
          </cell>
          <cell r="F28">
            <v>331057645</v>
          </cell>
        </row>
        <row r="29">
          <cell r="C29">
            <v>111269572.63</v>
          </cell>
          <cell r="D29">
            <v>269535059.02999997</v>
          </cell>
          <cell r="F29">
            <v>382342402</v>
          </cell>
        </row>
        <row r="30">
          <cell r="C30">
            <v>102174679.52999991</v>
          </cell>
          <cell r="D30">
            <v>278116922.00999999</v>
          </cell>
          <cell r="F30">
            <v>385549582</v>
          </cell>
        </row>
        <row r="31">
          <cell r="C31">
            <v>100017021</v>
          </cell>
          <cell r="D31">
            <v>307494236.20000005</v>
          </cell>
          <cell r="F31">
            <v>403748164</v>
          </cell>
        </row>
        <row r="32">
          <cell r="C32">
            <v>110524396.51999998</v>
          </cell>
          <cell r="D32">
            <v>335795725.19999981</v>
          </cell>
          <cell r="F32">
            <v>443479701</v>
          </cell>
        </row>
        <row r="33">
          <cell r="C33">
            <v>112904624</v>
          </cell>
          <cell r="D33">
            <v>360838080.7099998</v>
          </cell>
          <cell r="F33">
            <v>472739474</v>
          </cell>
        </row>
        <row r="34">
          <cell r="C34">
            <v>104642688</v>
          </cell>
          <cell r="D34">
            <v>389333918.13999987</v>
          </cell>
          <cell r="F34">
            <v>494036010</v>
          </cell>
        </row>
        <row r="35">
          <cell r="C35">
            <v>98715934</v>
          </cell>
          <cell r="D35">
            <v>407969846.0800004</v>
          </cell>
          <cell r="F35">
            <v>503824316</v>
          </cell>
        </row>
        <row r="36">
          <cell r="C36">
            <v>88278690</v>
          </cell>
          <cell r="D36">
            <v>399074847</v>
          </cell>
          <cell r="F36">
            <v>487353537</v>
          </cell>
        </row>
        <row r="37">
          <cell r="C37">
            <v>70749081</v>
          </cell>
          <cell r="D37">
            <v>352368052</v>
          </cell>
          <cell r="F37">
            <v>423074138</v>
          </cell>
        </row>
        <row r="38">
          <cell r="C38">
            <v>65696833</v>
          </cell>
          <cell r="D38">
            <v>331676957</v>
          </cell>
          <cell r="F38">
            <v>395551679</v>
          </cell>
        </row>
        <row r="39">
          <cell r="C39">
            <v>59123729</v>
          </cell>
          <cell r="D39">
            <v>314907158.99999952</v>
          </cell>
          <cell r="F39">
            <v>372016601</v>
          </cell>
        </row>
        <row r="45">
          <cell r="B45" t="str">
            <v>(2), (3) Provided by TWIA, as of 12/31/2019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2"/>
      <sheetName val="2.1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12911</v>
          </cell>
        </row>
        <row r="52">
          <cell r="D52">
            <v>0.97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5">
          <cell r="B55" t="str">
            <v>(1), (2) from NOAA Technical Memorandum NWS-NHC-6, updated with actual experience through 2019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M11">
            <v>12</v>
          </cell>
        </row>
      </sheetData>
      <sheetData sheetId="15"/>
      <sheetData sheetId="16">
        <row r="11">
          <cell r="L11">
            <v>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A14">
            <v>1851</v>
          </cell>
          <cell r="B14" t="str">
            <v>Jun</v>
          </cell>
          <cell r="E14">
            <v>1929</v>
          </cell>
          <cell r="F14" t="str">
            <v>Jun</v>
          </cell>
        </row>
        <row r="15">
          <cell r="A15">
            <v>1854</v>
          </cell>
          <cell r="B15" t="str">
            <v>Jun</v>
          </cell>
          <cell r="E15">
            <v>1932</v>
          </cell>
          <cell r="F15" t="str">
            <v>Aug</v>
          </cell>
          <cell r="G15" t="str">
            <v>“Freeport”</v>
          </cell>
        </row>
        <row r="16">
          <cell r="A16">
            <v>1854</v>
          </cell>
          <cell r="B16" t="str">
            <v>Sep</v>
          </cell>
          <cell r="C16" t="str">
            <v>“Matagorda”</v>
          </cell>
          <cell r="E16">
            <v>1933</v>
          </cell>
          <cell r="F16" t="str">
            <v>Aug</v>
          </cell>
        </row>
        <row r="17">
          <cell r="A17">
            <v>1865</v>
          </cell>
          <cell r="B17" t="str">
            <v>Sep</v>
          </cell>
          <cell r="C17" t="str">
            <v>“Sabine River-Lake Calcasieu”</v>
          </cell>
          <cell r="E17">
            <v>1933</v>
          </cell>
          <cell r="F17" t="str">
            <v>Sep</v>
          </cell>
        </row>
        <row r="18">
          <cell r="A18">
            <v>1866</v>
          </cell>
          <cell r="B18" t="str">
            <v>Jul</v>
          </cell>
          <cell r="E18">
            <v>1934</v>
          </cell>
          <cell r="F18" t="str">
            <v>Jul</v>
          </cell>
        </row>
        <row r="19">
          <cell r="A19">
            <v>1867</v>
          </cell>
          <cell r="B19" t="str">
            <v>Oct</v>
          </cell>
          <cell r="C19" t="str">
            <v>“Galveston”</v>
          </cell>
          <cell r="E19">
            <v>1936</v>
          </cell>
          <cell r="F19" t="str">
            <v>Jun</v>
          </cell>
        </row>
        <row r="20">
          <cell r="A20">
            <v>1869</v>
          </cell>
          <cell r="B20" t="str">
            <v>Aug</v>
          </cell>
          <cell r="C20" t="str">
            <v>“Lower Texas Coast"</v>
          </cell>
          <cell r="E20">
            <v>1940</v>
          </cell>
          <cell r="F20" t="str">
            <v>Aug</v>
          </cell>
        </row>
        <row r="21">
          <cell r="A21">
            <v>1875</v>
          </cell>
          <cell r="B21" t="str">
            <v>Sep</v>
          </cell>
          <cell r="E21">
            <v>1941</v>
          </cell>
          <cell r="F21" t="str">
            <v>Sep</v>
          </cell>
        </row>
        <row r="22">
          <cell r="A22">
            <v>1879</v>
          </cell>
          <cell r="B22" t="str">
            <v>Aug</v>
          </cell>
          <cell r="E22">
            <v>1942</v>
          </cell>
          <cell r="F22" t="str">
            <v>Aug</v>
          </cell>
        </row>
        <row r="23">
          <cell r="A23">
            <v>1880</v>
          </cell>
          <cell r="B23" t="str">
            <v>Aug</v>
          </cell>
          <cell r="E23">
            <v>1942</v>
          </cell>
          <cell r="F23" t="str">
            <v>Aug</v>
          </cell>
        </row>
        <row r="24">
          <cell r="A24">
            <v>1882</v>
          </cell>
          <cell r="B24" t="str">
            <v>Sep</v>
          </cell>
          <cell r="E24">
            <v>1943</v>
          </cell>
          <cell r="F24" t="str">
            <v>Jul</v>
          </cell>
        </row>
        <row r="25">
          <cell r="A25">
            <v>1886</v>
          </cell>
          <cell r="B25" t="str">
            <v>Jun</v>
          </cell>
          <cell r="E25">
            <v>1945</v>
          </cell>
          <cell r="F25" t="str">
            <v>Aug</v>
          </cell>
        </row>
        <row r="26">
          <cell r="A26">
            <v>1886</v>
          </cell>
          <cell r="B26" t="str">
            <v>Aug</v>
          </cell>
          <cell r="C26" t="str">
            <v>“Indianola”</v>
          </cell>
          <cell r="E26">
            <v>1947</v>
          </cell>
          <cell r="F26" t="str">
            <v>Aug</v>
          </cell>
        </row>
        <row r="27">
          <cell r="A27">
            <v>1886</v>
          </cell>
          <cell r="B27" t="str">
            <v>Sep</v>
          </cell>
          <cell r="E27">
            <v>1949</v>
          </cell>
          <cell r="F27" t="str">
            <v>Oct</v>
          </cell>
        </row>
        <row r="28">
          <cell r="A28">
            <v>1886</v>
          </cell>
          <cell r="B28" t="str">
            <v>Oct</v>
          </cell>
          <cell r="E28">
            <v>1957</v>
          </cell>
          <cell r="F28" t="str">
            <v>Jun</v>
          </cell>
          <cell r="G28" t="str">
            <v>Audrey</v>
          </cell>
        </row>
        <row r="29">
          <cell r="A29">
            <v>1887</v>
          </cell>
          <cell r="B29" t="str">
            <v>Sep</v>
          </cell>
          <cell r="E29">
            <v>1959</v>
          </cell>
          <cell r="F29" t="str">
            <v>Jul</v>
          </cell>
          <cell r="G29" t="str">
            <v>Debra</v>
          </cell>
        </row>
        <row r="30">
          <cell r="A30">
            <v>1888</v>
          </cell>
          <cell r="B30" t="str">
            <v>Jun</v>
          </cell>
          <cell r="E30">
            <v>1961</v>
          </cell>
          <cell r="F30" t="str">
            <v>Sep</v>
          </cell>
          <cell r="G30" t="str">
            <v>Carla</v>
          </cell>
        </row>
        <row r="31">
          <cell r="A31">
            <v>1891</v>
          </cell>
          <cell r="B31" t="str">
            <v>Jul</v>
          </cell>
          <cell r="E31">
            <v>1963</v>
          </cell>
          <cell r="F31" t="str">
            <v>Sep</v>
          </cell>
          <cell r="G31" t="str">
            <v>Cindy</v>
          </cell>
        </row>
        <row r="32">
          <cell r="A32">
            <v>1895</v>
          </cell>
          <cell r="B32" t="str">
            <v>Aug</v>
          </cell>
          <cell r="E32">
            <v>1967</v>
          </cell>
          <cell r="F32" t="str">
            <v>Sep</v>
          </cell>
          <cell r="G32" t="str">
            <v>Beulah</v>
          </cell>
        </row>
        <row r="33">
          <cell r="A33">
            <v>1897</v>
          </cell>
          <cell r="B33" t="str">
            <v>Sep</v>
          </cell>
          <cell r="E33">
            <v>1970</v>
          </cell>
          <cell r="F33" t="str">
            <v>Aug</v>
          </cell>
          <cell r="G33" t="str">
            <v>Celia</v>
          </cell>
        </row>
        <row r="34">
          <cell r="A34">
            <v>1900</v>
          </cell>
          <cell r="B34" t="str">
            <v>Sep</v>
          </cell>
          <cell r="C34" t="str">
            <v>“Galveston”</v>
          </cell>
          <cell r="E34">
            <v>1971</v>
          </cell>
          <cell r="F34" t="str">
            <v>Sep</v>
          </cell>
          <cell r="G34" t="str">
            <v>Fern</v>
          </cell>
        </row>
        <row r="35">
          <cell r="A35">
            <v>1909</v>
          </cell>
          <cell r="B35" t="str">
            <v>Jun</v>
          </cell>
          <cell r="E35">
            <v>1980</v>
          </cell>
          <cell r="F35" t="str">
            <v>Aug</v>
          </cell>
          <cell r="G35" t="str">
            <v>Allen</v>
          </cell>
        </row>
        <row r="36">
          <cell r="A36">
            <v>1909</v>
          </cell>
          <cell r="B36" t="str">
            <v>Jul</v>
          </cell>
          <cell r="C36" t="str">
            <v>“Velasco”</v>
          </cell>
          <cell r="E36">
            <v>1983</v>
          </cell>
          <cell r="F36" t="str">
            <v>Aug</v>
          </cell>
          <cell r="G36" t="str">
            <v>Alicia</v>
          </cell>
        </row>
        <row r="37">
          <cell r="A37">
            <v>1909</v>
          </cell>
          <cell r="B37" t="str">
            <v>Aug</v>
          </cell>
          <cell r="E37">
            <v>1986</v>
          </cell>
          <cell r="F37" t="str">
            <v>Jun</v>
          </cell>
          <cell r="G37" t="str">
            <v>Bonnie</v>
          </cell>
        </row>
        <row r="38">
          <cell r="A38">
            <v>1910</v>
          </cell>
          <cell r="B38" t="str">
            <v>Sep</v>
          </cell>
          <cell r="E38">
            <v>1989</v>
          </cell>
          <cell r="F38" t="str">
            <v>Aug</v>
          </cell>
          <cell r="G38" t="str">
            <v>Chantal</v>
          </cell>
        </row>
        <row r="39">
          <cell r="A39">
            <v>1912</v>
          </cell>
          <cell r="B39" t="str">
            <v>Oct</v>
          </cell>
          <cell r="E39">
            <v>1989</v>
          </cell>
          <cell r="F39" t="str">
            <v>Oct</v>
          </cell>
          <cell r="G39" t="str">
            <v>Jerry</v>
          </cell>
        </row>
        <row r="40">
          <cell r="A40">
            <v>1913</v>
          </cell>
          <cell r="B40" t="str">
            <v>Jun</v>
          </cell>
          <cell r="E40">
            <v>1999</v>
          </cell>
          <cell r="F40" t="str">
            <v>Aug</v>
          </cell>
          <cell r="G40" t="str">
            <v>Bret</v>
          </cell>
        </row>
        <row r="41">
          <cell r="A41">
            <v>1915</v>
          </cell>
          <cell r="B41" t="str">
            <v>Aug</v>
          </cell>
          <cell r="C41" t="str">
            <v>“Galveston”</v>
          </cell>
          <cell r="E41">
            <v>2003</v>
          </cell>
          <cell r="F41" t="str">
            <v>Jul</v>
          </cell>
          <cell r="G41" t="str">
            <v>Claudette</v>
          </cell>
        </row>
        <row r="42">
          <cell r="A42">
            <v>1916</v>
          </cell>
          <cell r="B42" t="str">
            <v>Aug</v>
          </cell>
          <cell r="C42"/>
          <cell r="E42">
            <v>2005</v>
          </cell>
          <cell r="F42" t="str">
            <v>Sep</v>
          </cell>
          <cell r="G42" t="str">
            <v>Rita</v>
          </cell>
        </row>
        <row r="43">
          <cell r="A43">
            <v>1919</v>
          </cell>
          <cell r="B43" t="str">
            <v>Sep</v>
          </cell>
          <cell r="C43"/>
          <cell r="E43">
            <v>2007</v>
          </cell>
          <cell r="F43" t="str">
            <v>Sep</v>
          </cell>
          <cell r="G43" t="str">
            <v>Humberto</v>
          </cell>
        </row>
        <row r="44">
          <cell r="A44">
            <v>1921</v>
          </cell>
          <cell r="B44" t="str">
            <v>Jun</v>
          </cell>
          <cell r="E44">
            <v>2008</v>
          </cell>
          <cell r="F44" t="str">
            <v>Jul</v>
          </cell>
          <cell r="G44" t="str">
            <v>Dolly</v>
          </cell>
        </row>
        <row r="45">
          <cell r="E45">
            <v>2008</v>
          </cell>
          <cell r="F45" t="str">
            <v>Sep</v>
          </cell>
          <cell r="G45" t="str">
            <v>Ike</v>
          </cell>
        </row>
        <row r="46">
          <cell r="E46">
            <v>2017</v>
          </cell>
          <cell r="F46" t="str">
            <v>Aug</v>
          </cell>
          <cell r="G46" t="str">
            <v>Harvey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3">
          <cell r="O313">
            <v>91368783.82083334</v>
          </cell>
        </row>
        <row r="314">
          <cell r="O314">
            <v>88264252.722916678</v>
          </cell>
        </row>
        <row r="315">
          <cell r="O315">
            <v>86607394.652083337</v>
          </cell>
        </row>
        <row r="316">
          <cell r="O316">
            <v>83950907.204166666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9CF4-958E-4F41-87CA-8E5C65EFF1A2}">
  <sheetPr>
    <tabColor rgb="FF92D050"/>
  </sheetPr>
  <dimension ref="B31:I33"/>
  <sheetViews>
    <sheetView showGridLines="0" tabSelected="1" zoomScaleNormal="100" workbookViewId="0">
      <selection activeCell="B18" sqref="B18"/>
    </sheetView>
  </sheetViews>
  <sheetFormatPr defaultRowHeight="11.25" x14ac:dyDescent="0.2"/>
  <cols>
    <col min="1" max="1" width="13.5" customWidth="1"/>
    <col min="2" max="2" width="12.33203125" customWidth="1"/>
    <col min="3" max="12" width="10.5" customWidth="1"/>
  </cols>
  <sheetData>
    <row r="31" spans="2:9" ht="15.75" x14ac:dyDescent="0.25">
      <c r="B31" s="339" t="s">
        <v>0</v>
      </c>
      <c r="C31" s="339"/>
      <c r="D31" s="339"/>
      <c r="E31" s="339"/>
      <c r="F31" s="339"/>
      <c r="G31" s="339"/>
      <c r="H31" s="339"/>
      <c r="I31" s="339"/>
    </row>
    <row r="32" spans="2:9" ht="15.75" x14ac:dyDescent="0.25">
      <c r="B32" s="339" t="s">
        <v>1</v>
      </c>
      <c r="C32" s="339"/>
      <c r="D32" s="339"/>
      <c r="E32" s="339"/>
      <c r="F32" s="339"/>
      <c r="G32" s="339"/>
      <c r="H32" s="339"/>
      <c r="I32" s="339"/>
    </row>
    <row r="33" spans="2:9" ht="15.75" x14ac:dyDescent="0.25">
      <c r="B33" s="339" t="s">
        <v>408</v>
      </c>
      <c r="C33" s="339"/>
      <c r="D33" s="339"/>
      <c r="E33" s="339"/>
      <c r="F33" s="339"/>
      <c r="G33" s="339"/>
      <c r="H33" s="339"/>
      <c r="I33" s="339"/>
    </row>
  </sheetData>
  <mergeCells count="3">
    <mergeCell ref="B31:I31"/>
    <mergeCell ref="B32:I32"/>
    <mergeCell ref="B33:I3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M69"/>
  <sheetViews>
    <sheetView showGridLines="0" topLeftCell="A7" workbookViewId="0">
      <selection activeCell="F36" sqref="F36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57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99" t="s">
        <v>327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2010</v>
      </c>
      <c r="B14" s="25"/>
      <c r="C14" s="33">
        <f>'2.4b'!C14</f>
        <v>3445556</v>
      </c>
      <c r="D14" s="44">
        <v>1</v>
      </c>
      <c r="E14" s="31">
        <f t="shared" ref="E14:E23" si="1">ROUND(C14*D14,0)</f>
        <v>3445556</v>
      </c>
      <c r="K14" s="2"/>
    </row>
    <row r="15" spans="1:12" x14ac:dyDescent="0.2">
      <c r="A15" t="str">
        <f t="shared" si="0"/>
        <v>2011</v>
      </c>
      <c r="B15" s="25"/>
      <c r="C15" s="33">
        <f>'2.4b'!C15</f>
        <v>19199535</v>
      </c>
      <c r="D15" s="36">
        <f>INDEX('ldf 3.1a'!$C$46:$K$46,11-MATCH(A15,A$14:A$23))</f>
        <v>1</v>
      </c>
      <c r="E15" s="31">
        <f t="shared" si="1"/>
        <v>19199535</v>
      </c>
      <c r="K15" s="2"/>
    </row>
    <row r="16" spans="1:12" x14ac:dyDescent="0.2">
      <c r="A16" t="str">
        <f t="shared" si="0"/>
        <v>2012</v>
      </c>
      <c r="B16" s="25"/>
      <c r="C16" s="33">
        <f>'2.4b'!C16</f>
        <v>20626638</v>
      </c>
      <c r="D16" s="36">
        <f>INDEX('ldf 3.1a'!$C$46:$K$46,11-MATCH(A16,A$14:A$23))</f>
        <v>1</v>
      </c>
      <c r="E16" s="31">
        <f t="shared" si="1"/>
        <v>20626638</v>
      </c>
      <c r="K16" s="2"/>
    </row>
    <row r="17" spans="1:13" x14ac:dyDescent="0.2">
      <c r="A17" t="str">
        <f t="shared" si="0"/>
        <v>2013</v>
      </c>
      <c r="B17" s="25"/>
      <c r="C17" s="33">
        <f>'2.4b'!C17</f>
        <v>6175709</v>
      </c>
      <c r="D17" s="36">
        <f>INDEX('ldf 3.1a'!$C$46:$K$46,11-MATCH(A17,A$14:A$23))</f>
        <v>1</v>
      </c>
      <c r="E17" s="31">
        <f t="shared" si="1"/>
        <v>6175709</v>
      </c>
      <c r="K17" s="2"/>
    </row>
    <row r="18" spans="1:13" x14ac:dyDescent="0.2">
      <c r="A18" t="str">
        <f t="shared" si="0"/>
        <v>2014</v>
      </c>
      <c r="B18" s="25"/>
      <c r="C18" s="33">
        <f>'2.4b'!C18</f>
        <v>1617725</v>
      </c>
      <c r="D18" s="36">
        <f>INDEX('ldf 3.1a'!$C$46:$K$46,11-MATCH(A18,A$14:A$23))</f>
        <v>1.0009999999999999</v>
      </c>
      <c r="E18" s="31">
        <f t="shared" si="1"/>
        <v>1619343</v>
      </c>
      <c r="K18" s="2"/>
    </row>
    <row r="19" spans="1:13" x14ac:dyDescent="0.2">
      <c r="A19" t="str">
        <f t="shared" si="0"/>
        <v>2015</v>
      </c>
      <c r="B19" s="25"/>
      <c r="C19" s="33">
        <f>'2.4b'!C19</f>
        <v>9413903</v>
      </c>
      <c r="D19" s="36">
        <f>INDEX('ldf 3.1a'!$C$46:$K$46,11-MATCH(A19,A$14:A$23))</f>
        <v>1.0049999999999999</v>
      </c>
      <c r="E19" s="31">
        <f t="shared" si="1"/>
        <v>9460973</v>
      </c>
      <c r="K19" s="2"/>
    </row>
    <row r="20" spans="1:13" x14ac:dyDescent="0.2">
      <c r="A20" t="str">
        <f t="shared" si="0"/>
        <v>2016</v>
      </c>
      <c r="B20" s="25"/>
      <c r="C20" s="33">
        <f>'2.4b'!C20</f>
        <v>9521301</v>
      </c>
      <c r="D20" s="36">
        <f>INDEX('ldf 3.1a'!$C$46:$K$46,11-MATCH(A20,A$14:A$23))</f>
        <v>1.018</v>
      </c>
      <c r="E20" s="31">
        <f t="shared" si="1"/>
        <v>9692684</v>
      </c>
      <c r="K20" s="2"/>
    </row>
    <row r="21" spans="1:13" x14ac:dyDescent="0.2">
      <c r="A21" t="str">
        <f t="shared" si="0"/>
        <v>2017</v>
      </c>
      <c r="B21" s="25"/>
      <c r="C21" s="33">
        <f>'2.4b'!C21</f>
        <v>7629476</v>
      </c>
      <c r="D21" s="36">
        <f>INDEX('ldf 3.1a'!$C$46:$K$46,11-MATCH(A21,A$14:A$23))</f>
        <v>1.0389999999999999</v>
      </c>
      <c r="E21" s="31">
        <f t="shared" si="1"/>
        <v>7927026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49">
        <f>'2.4b'!C22</f>
        <v>1103506</v>
      </c>
      <c r="D22" s="36">
        <f>INDEX('ldf 3.1a'!$C$46:$K$46,11-MATCH(A22,A$14:A$23))</f>
        <v>1.095</v>
      </c>
      <c r="E22" s="125">
        <f t="shared" si="1"/>
        <v>1208339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49">
        <f>'2.4b'!C23</f>
        <v>655541</v>
      </c>
      <c r="D23" s="36">
        <f>INDEX('ldf 3.1a'!$C$46:$K$46,11-MATCH(A23,A$14:A$23))</f>
        <v>1.274</v>
      </c>
      <c r="E23" s="125">
        <f t="shared" si="1"/>
        <v>835159</v>
      </c>
      <c r="K23" s="2"/>
      <c r="L23" s="86"/>
      <c r="M23" s="86"/>
    </row>
    <row r="24" spans="1:13" x14ac:dyDescent="0.2">
      <c r="A24" s="9"/>
      <c r="B24" s="26"/>
      <c r="C24" s="34"/>
      <c r="D24" s="202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79388890</v>
      </c>
      <c r="E26" s="19">
        <f>SUM(E14:E24)</f>
        <v>80190962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"&amp;'2.4b'!$J$1&amp;", "&amp;'2.4b'!$J$2&amp;", as of "&amp;TEXT($M$22,"m/d/yy")</f>
        <v>(2) Exhibit 2, Sheet 4b, as of 12/31/19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</sheetPr>
  <dimension ref="A1:M69"/>
  <sheetViews>
    <sheetView showGridLines="0" topLeftCell="A10" workbookViewId="0">
      <selection activeCell="G26" sqref="G26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99" t="s">
        <v>327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2010</v>
      </c>
      <c r="B14" s="25"/>
      <c r="C14" s="33">
        <f>'2.4c'!C14</f>
        <v>6663982</v>
      </c>
      <c r="D14" s="44">
        <v>1</v>
      </c>
      <c r="E14" s="31">
        <f t="shared" ref="E14:E23" si="1">ROUND(C14*D14,0)</f>
        <v>6663982</v>
      </c>
      <c r="K14" s="2"/>
    </row>
    <row r="15" spans="1:12" x14ac:dyDescent="0.2">
      <c r="A15" t="str">
        <f t="shared" si="0"/>
        <v>2011</v>
      </c>
      <c r="B15" s="25"/>
      <c r="C15" s="33">
        <f>'2.4c'!C15</f>
        <v>56124736</v>
      </c>
      <c r="D15" s="36">
        <f>INDEX('ldf 3.1a'!$C$46:$K$46,11-MATCH(A15,A$14:A$23))</f>
        <v>1</v>
      </c>
      <c r="E15" s="31">
        <f t="shared" si="1"/>
        <v>56124736</v>
      </c>
      <c r="K15" s="2"/>
    </row>
    <row r="16" spans="1:12" x14ac:dyDescent="0.2">
      <c r="A16" t="str">
        <f t="shared" si="0"/>
        <v>2012</v>
      </c>
      <c r="B16" s="25"/>
      <c r="C16" s="33">
        <f>'2.4c'!C16</f>
        <v>18946421</v>
      </c>
      <c r="D16" s="36">
        <f>INDEX('ldf 3.1a'!$C$46:$K$46,11-MATCH(A16,A$14:A$23))</f>
        <v>1</v>
      </c>
      <c r="E16" s="31">
        <f t="shared" si="1"/>
        <v>18946421</v>
      </c>
      <c r="K16" s="2"/>
    </row>
    <row r="17" spans="1:13" x14ac:dyDescent="0.2">
      <c r="A17" t="str">
        <f t="shared" si="0"/>
        <v>2013</v>
      </c>
      <c r="B17" s="25"/>
      <c r="C17" s="33">
        <f>'2.4c'!C17</f>
        <v>4828213</v>
      </c>
      <c r="D17" s="36">
        <f>INDEX('ldf 3.1a'!$C$46:$K$46,11-MATCH(A17,A$14:A$23))</f>
        <v>1</v>
      </c>
      <c r="E17" s="31">
        <f t="shared" si="1"/>
        <v>4828213</v>
      </c>
      <c r="K17" s="2"/>
    </row>
    <row r="18" spans="1:13" x14ac:dyDescent="0.2">
      <c r="A18" t="str">
        <f t="shared" si="0"/>
        <v>2014</v>
      </c>
      <c r="B18" s="25"/>
      <c r="C18" s="33">
        <f>'2.4c'!C18</f>
        <v>2844586</v>
      </c>
      <c r="D18" s="36">
        <f>INDEX('ldf 3.1a'!$C$46:$K$46,11-MATCH(A18,A$14:A$23))</f>
        <v>1.0009999999999999</v>
      </c>
      <c r="E18" s="31">
        <f t="shared" si="1"/>
        <v>2847431</v>
      </c>
      <c r="K18" s="2"/>
    </row>
    <row r="19" spans="1:13" x14ac:dyDescent="0.2">
      <c r="A19" t="str">
        <f t="shared" si="0"/>
        <v>2015</v>
      </c>
      <c r="B19" s="25"/>
      <c r="C19" s="33">
        <f>'2.4c'!C19</f>
        <v>86349948</v>
      </c>
      <c r="D19" s="36">
        <f>INDEX('ldf 3.1a'!$C$46:$K$46,11-MATCH(A19,A$14:A$23))</f>
        <v>1.0049999999999999</v>
      </c>
      <c r="E19" s="31">
        <f t="shared" si="1"/>
        <v>86781698</v>
      </c>
      <c r="K19" s="2"/>
    </row>
    <row r="20" spans="1:13" x14ac:dyDescent="0.2">
      <c r="A20" t="str">
        <f t="shared" si="0"/>
        <v>2016</v>
      </c>
      <c r="B20" s="25"/>
      <c r="C20" s="33">
        <f>'2.4c'!C20</f>
        <v>12162624</v>
      </c>
      <c r="D20" s="36">
        <f>INDEX('ldf 3.1a'!$C$46:$K$46,11-MATCH(A20,A$14:A$23))</f>
        <v>1.018</v>
      </c>
      <c r="E20" s="31">
        <f t="shared" si="1"/>
        <v>12381551</v>
      </c>
      <c r="K20" s="2"/>
    </row>
    <row r="21" spans="1:13" x14ac:dyDescent="0.2">
      <c r="A21" t="str">
        <f t="shared" si="0"/>
        <v>2017</v>
      </c>
      <c r="B21" s="25"/>
      <c r="C21" s="33">
        <f>'2.4c'!C21</f>
        <v>21764714</v>
      </c>
      <c r="D21" s="36">
        <f>INDEX('ldf 3.1a'!$C$46:$K$46,11-MATCH(A21,A$14:A$23))</f>
        <v>1.0389999999999999</v>
      </c>
      <c r="E21" s="31">
        <f t="shared" si="1"/>
        <v>22613538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49">
        <f>'2.4c'!C22</f>
        <v>6649393</v>
      </c>
      <c r="D22" s="36">
        <f>INDEX('ldf 3.1a'!$C$46:$K$46,11-MATCH(A22,A$14:A$23))</f>
        <v>1.095</v>
      </c>
      <c r="E22" s="125">
        <f t="shared" si="1"/>
        <v>7281085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49">
        <f>'2.4c'!C23</f>
        <v>8685429</v>
      </c>
      <c r="D23" s="36">
        <f>INDEX('ldf 3.1a'!$C$46:$K$46,11-MATCH(A23,A$14:A$23))</f>
        <v>1.274</v>
      </c>
      <c r="E23" s="125">
        <f t="shared" si="1"/>
        <v>11065237</v>
      </c>
      <c r="K23" s="2"/>
      <c r="L23" s="86"/>
      <c r="M23" s="86"/>
    </row>
    <row r="24" spans="1:13" x14ac:dyDescent="0.2">
      <c r="A24" s="9"/>
      <c r="B24" s="26"/>
      <c r="C24" s="34"/>
      <c r="D24" s="202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225020046</v>
      </c>
      <c r="E26" s="19">
        <f>SUM(E14:E24)</f>
        <v>229533892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"&amp;'2.4c'!$J$1&amp;", "&amp;'2.4c'!$J$2&amp;", as of "&amp;TEXT($M$22,"m/d/yy")</f>
        <v>(2) Exhibit 2, Sheet 4c, as of 12/31/19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</sheetPr>
  <dimension ref="A1:M69"/>
  <sheetViews>
    <sheetView showGridLines="0" workbookViewId="0">
      <selection activeCell="C23" sqref="C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59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340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99" t="s">
        <v>327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7" t="str">
        <f>TEXT(COLUMN(),"(#)")</f>
        <v>(1)</v>
      </c>
      <c r="B12" s="7"/>
      <c r="C12" s="7" t="str">
        <f>TEXT(COLUMN()-1,"(#)")</f>
        <v>(2)</v>
      </c>
      <c r="D12" s="7" t="str">
        <f>TEXT(COLUMN()-1,"(#)")</f>
        <v>(3)</v>
      </c>
      <c r="E12" s="7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2010</v>
      </c>
      <c r="B14" s="25"/>
      <c r="C14" s="33">
        <f>'2.4d'!C14</f>
        <v>182872</v>
      </c>
      <c r="D14" s="44">
        <v>1</v>
      </c>
      <c r="E14" s="31">
        <f>ROUND(C14*D14,0)</f>
        <v>182872</v>
      </c>
      <c r="K14" s="2"/>
    </row>
    <row r="15" spans="1:12" x14ac:dyDescent="0.2">
      <c r="A15" t="str">
        <f t="shared" si="0"/>
        <v>2011</v>
      </c>
      <c r="B15" s="25"/>
      <c r="C15" s="33">
        <f>'2.4d'!C15</f>
        <v>54382</v>
      </c>
      <c r="D15" s="36">
        <f>INDEX('ldf 3.1a'!$C$46:$K$46,11-MATCH(A15,A$14:A$23))</f>
        <v>1</v>
      </c>
      <c r="E15" s="31">
        <f t="shared" ref="E15:E22" si="1">ROUND(C15*D15,0)</f>
        <v>54382</v>
      </c>
      <c r="K15" s="2"/>
    </row>
    <row r="16" spans="1:12" x14ac:dyDescent="0.2">
      <c r="A16" t="str">
        <f t="shared" si="0"/>
        <v>2012</v>
      </c>
      <c r="B16" s="25"/>
      <c r="C16" s="33">
        <f>'2.4d'!C16</f>
        <v>259290</v>
      </c>
      <c r="D16" s="36">
        <f>INDEX('ldf 3.1a'!$C$46:$K$46,11-MATCH(A16,A$14:A$23))</f>
        <v>1</v>
      </c>
      <c r="E16" s="31">
        <f t="shared" si="1"/>
        <v>259290</v>
      </c>
      <c r="K16" s="2"/>
    </row>
    <row r="17" spans="1:13" x14ac:dyDescent="0.2">
      <c r="A17" t="str">
        <f t="shared" si="0"/>
        <v>2013</v>
      </c>
      <c r="B17" s="25"/>
      <c r="C17" s="33">
        <f>'2.4d'!C17</f>
        <v>502759</v>
      </c>
      <c r="D17" s="36">
        <f>INDEX('ldf 3.1a'!$C$46:$K$46,11-MATCH(A17,A$14:A$23))</f>
        <v>1</v>
      </c>
      <c r="E17" s="31">
        <f t="shared" si="1"/>
        <v>502759</v>
      </c>
      <c r="K17" s="2"/>
    </row>
    <row r="18" spans="1:13" x14ac:dyDescent="0.2">
      <c r="A18" t="str">
        <f t="shared" si="0"/>
        <v>2014</v>
      </c>
      <c r="B18" s="25"/>
      <c r="C18" s="33">
        <f>'2.4d'!C18</f>
        <v>30748</v>
      </c>
      <c r="D18" s="36">
        <f>INDEX('ldf 3.1a'!$C$46:$K$46,11-MATCH(A18,A$14:A$23))</f>
        <v>1.0009999999999999</v>
      </c>
      <c r="E18" s="31">
        <f t="shared" si="1"/>
        <v>30779</v>
      </c>
      <c r="K18" s="2"/>
    </row>
    <row r="19" spans="1:13" x14ac:dyDescent="0.2">
      <c r="A19" t="str">
        <f t="shared" si="0"/>
        <v>2015</v>
      </c>
      <c r="B19" s="25"/>
      <c r="C19" s="33">
        <f>'2.4d'!C19</f>
        <v>322838</v>
      </c>
      <c r="D19" s="36">
        <f>INDEX('ldf 3.1a'!$C$46:$K$46,11-MATCH(A19,A$14:A$23))</f>
        <v>1.0049999999999999</v>
      </c>
      <c r="E19" s="31">
        <f t="shared" si="1"/>
        <v>324452</v>
      </c>
      <c r="K19" s="2"/>
    </row>
    <row r="20" spans="1:13" x14ac:dyDescent="0.2">
      <c r="A20" t="str">
        <f t="shared" si="0"/>
        <v>2016</v>
      </c>
      <c r="B20" s="25"/>
      <c r="C20" s="33">
        <f>'2.4d'!C20</f>
        <v>446449</v>
      </c>
      <c r="D20" s="36">
        <f>INDEX('ldf 3.1a'!$C$46:$K$46,11-MATCH(A20,A$14:A$23))</f>
        <v>1.018</v>
      </c>
      <c r="E20" s="31">
        <f t="shared" si="1"/>
        <v>454485</v>
      </c>
      <c r="K20" s="2"/>
    </row>
    <row r="21" spans="1:13" x14ac:dyDescent="0.2">
      <c r="A21" t="str">
        <f t="shared" si="0"/>
        <v>2017</v>
      </c>
      <c r="B21" s="25"/>
      <c r="C21" s="33">
        <f>'2.4d'!C21</f>
        <v>481121</v>
      </c>
      <c r="D21" s="36">
        <f>INDEX('ldf 3.1a'!$C$46:$K$46,11-MATCH(A21,A$14:A$23))</f>
        <v>1.0389999999999999</v>
      </c>
      <c r="E21" s="31">
        <f t="shared" si="1"/>
        <v>499885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49">
        <f>'2.4d'!C22</f>
        <v>282195</v>
      </c>
      <c r="D22" s="36">
        <f>INDEX('ldf 3.1a'!$C$46:$K$46,11-MATCH(A22,A$14:A$23))</f>
        <v>1.095</v>
      </c>
      <c r="E22" s="125">
        <f t="shared" si="1"/>
        <v>309004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49">
        <f>'2.4d'!C23</f>
        <v>1800402</v>
      </c>
      <c r="D23" s="36">
        <f>INDEX('ldf 3.1a'!$C$46:$K$46,11-MATCH(A23,A$14:A$23))</f>
        <v>1.274</v>
      </c>
      <c r="E23" s="125">
        <f>ROUND(C23*D23,0)</f>
        <v>2293712</v>
      </c>
      <c r="K23" s="2"/>
      <c r="L23" s="86"/>
      <c r="M23" s="86"/>
    </row>
    <row r="24" spans="1:13" x14ac:dyDescent="0.2">
      <c r="A24" s="9"/>
      <c r="B24" s="26"/>
      <c r="C24" s="34"/>
      <c r="D24" s="202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SUM(C14:C23)</f>
        <v>4363056</v>
      </c>
      <c r="E26" s="19">
        <f>SUM(E14:E23)</f>
        <v>4911620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"&amp;'2.4d'!$J$1&amp;", "&amp;'2.4d'!$J$2&amp;", as of "&amp;TEXT($M$22,"m/d/yy")</f>
        <v>(2) Exhibit 2, Sheet 4d, as of 12/31/19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G35" t="s">
        <v>337</v>
      </c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</sheetPr>
  <dimension ref="A1:M69"/>
  <sheetViews>
    <sheetView showGridLines="0" workbookViewId="0">
      <selection activeCell="C19" sqref="C19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3" width="15.33203125" style="11" customWidth="1"/>
    <col min="4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12/31/19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210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60</v>
      </c>
      <c r="K9" s="2"/>
      <c r="L9" s="27"/>
    </row>
    <row r="10" spans="1:12" x14ac:dyDescent="0.2">
      <c r="A10" t="s">
        <v>53</v>
      </c>
      <c r="C10"/>
      <c r="K10" s="2"/>
    </row>
    <row r="11" spans="1:12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C13"/>
      <c r="K13" s="2"/>
    </row>
    <row r="14" spans="1:12" x14ac:dyDescent="0.2">
      <c r="A14" t="str">
        <f t="shared" ref="A14:A22" si="0">TEXT(A15-1,"#")</f>
        <v>2010</v>
      </c>
      <c r="B14" s="25"/>
      <c r="C14" s="82">
        <f>ROUND('[3]TICO 3'!$X25,0)</f>
        <v>1264721</v>
      </c>
      <c r="D14" s="82">
        <f>ROUND('[3]TICO 3'!$S25,0)</f>
        <v>0</v>
      </c>
      <c r="E14" s="31">
        <f t="shared" ref="E14:E23" si="1">C14+D14</f>
        <v>1264721</v>
      </c>
      <c r="K14" s="2"/>
    </row>
    <row r="15" spans="1:12" x14ac:dyDescent="0.2">
      <c r="A15" t="str">
        <f t="shared" si="0"/>
        <v>2011</v>
      </c>
      <c r="B15" s="25"/>
      <c r="C15" s="82">
        <f>ROUND('[3]TICO 3'!$X26,0)</f>
        <v>1277401</v>
      </c>
      <c r="D15" s="82">
        <f>ROUND('[3]TICO 3'!$S26,0)</f>
        <v>0</v>
      </c>
      <c r="E15" s="31">
        <f t="shared" si="1"/>
        <v>1277401</v>
      </c>
      <c r="K15" s="2"/>
    </row>
    <row r="16" spans="1:12" x14ac:dyDescent="0.2">
      <c r="A16" t="str">
        <f t="shared" si="0"/>
        <v>2012</v>
      </c>
      <c r="B16" s="25"/>
      <c r="C16" s="82">
        <f>ROUND('[3]TICO 3'!$X27,0)</f>
        <v>10634874</v>
      </c>
      <c r="D16" s="82">
        <f>ROUND('[3]TICO 3'!$S27,0)</f>
        <v>0</v>
      </c>
      <c r="E16" s="31">
        <f t="shared" si="1"/>
        <v>10634874</v>
      </c>
      <c r="K16" s="2"/>
    </row>
    <row r="17" spans="1:13" x14ac:dyDescent="0.2">
      <c r="A17" t="str">
        <f t="shared" si="0"/>
        <v>2013</v>
      </c>
      <c r="B17" s="25"/>
      <c r="C17" s="82">
        <f>ROUND('[3]TICO 3'!$X28,0)</f>
        <v>54058418</v>
      </c>
      <c r="D17" s="82">
        <f>ROUND('[3]TICO 3'!$S28,0)</f>
        <v>0</v>
      </c>
      <c r="E17" s="31">
        <f t="shared" si="1"/>
        <v>54058418</v>
      </c>
      <c r="K17" s="2"/>
    </row>
    <row r="18" spans="1:13" x14ac:dyDescent="0.2">
      <c r="A18" t="str">
        <f t="shared" si="0"/>
        <v>2014</v>
      </c>
      <c r="B18" s="25"/>
      <c r="C18" s="82">
        <f>ROUND('[3]TICO 3'!$X29,0)</f>
        <v>520624</v>
      </c>
      <c r="D18" s="82">
        <f>ROUND('[3]TICO 3'!$S29,0)</f>
        <v>0</v>
      </c>
      <c r="E18" s="31">
        <f t="shared" si="1"/>
        <v>520624</v>
      </c>
      <c r="K18" s="2"/>
    </row>
    <row r="19" spans="1:13" x14ac:dyDescent="0.2">
      <c r="A19" t="str">
        <f t="shared" si="0"/>
        <v>2015</v>
      </c>
      <c r="B19" s="25"/>
      <c r="C19" s="82">
        <f>ROUND('[3]TICO 3'!$X30,0)</f>
        <v>17432597</v>
      </c>
      <c r="D19" s="82">
        <f>ROUND('[3]TICO 3'!$S30,0)</f>
        <v>0</v>
      </c>
      <c r="E19" s="31">
        <f t="shared" si="1"/>
        <v>17432597</v>
      </c>
      <c r="K19" s="2"/>
    </row>
    <row r="20" spans="1:13" x14ac:dyDescent="0.2">
      <c r="A20" t="str">
        <f t="shared" si="0"/>
        <v>2016</v>
      </c>
      <c r="B20" s="25"/>
      <c r="C20" s="82">
        <f>ROUND('[3]TICO 3'!$X31,0)</f>
        <v>10965754</v>
      </c>
      <c r="D20" s="82">
        <f>ROUND('[3]TICO 3'!$S31,0)</f>
        <v>0</v>
      </c>
      <c r="E20" s="31">
        <f t="shared" si="1"/>
        <v>10965754</v>
      </c>
      <c r="K20" s="2"/>
    </row>
    <row r="21" spans="1:13" x14ac:dyDescent="0.2">
      <c r="A21" t="str">
        <f t="shared" si="0"/>
        <v>2017</v>
      </c>
      <c r="B21" s="25"/>
      <c r="C21" s="82">
        <f>ROUND('[3]TICO 3'!$X32,0)</f>
        <v>2662919</v>
      </c>
      <c r="D21" s="82">
        <f>ROUND('[3]TICO 3'!$S32,0)</f>
        <v>33808487</v>
      </c>
      <c r="E21" s="31">
        <f t="shared" si="1"/>
        <v>36471406</v>
      </c>
      <c r="K21" s="2"/>
      <c r="L21" t="s">
        <v>217</v>
      </c>
      <c r="M21" t="s">
        <v>218</v>
      </c>
    </row>
    <row r="22" spans="1:13" x14ac:dyDescent="0.2">
      <c r="A22" s="50" t="str">
        <f t="shared" si="0"/>
        <v>2018</v>
      </c>
      <c r="B22" s="25"/>
      <c r="C22" s="82">
        <f>ROUND('[3]TICO 3'!$X33,0)</f>
        <v>2271239</v>
      </c>
      <c r="D22" s="82">
        <f>ROUND('[3]TICO 3'!$S33,0)</f>
        <v>0</v>
      </c>
      <c r="E22" s="31">
        <f t="shared" si="1"/>
        <v>2271239</v>
      </c>
      <c r="K22" s="2"/>
      <c r="L22" s="84">
        <f>'[3]TICO 3'!$E$1</f>
        <v>43738</v>
      </c>
      <c r="M22" s="84">
        <f>'[3]TICO 3'!$E$2</f>
        <v>43830</v>
      </c>
    </row>
    <row r="23" spans="1:13" x14ac:dyDescent="0.2">
      <c r="A23" s="50" t="str">
        <f>TEXT(YEAR($L$22),"#")</f>
        <v>2019</v>
      </c>
      <c r="B23" s="25"/>
      <c r="C23" s="82">
        <f>ROUND('[3]TICO 3'!$X34,0)</f>
        <v>3407800</v>
      </c>
      <c r="D23" s="82">
        <f>ROUND('[3]TICO 3'!$S34,0)</f>
        <v>0</v>
      </c>
      <c r="E23" s="31">
        <f t="shared" si="1"/>
        <v>3407800</v>
      </c>
      <c r="K23" s="2"/>
      <c r="L23" s="84"/>
      <c r="M23" s="84"/>
    </row>
    <row r="24" spans="1:13" x14ac:dyDescent="0.2">
      <c r="A24" s="9"/>
      <c r="B24" s="26"/>
      <c r="C24" s="68"/>
      <c r="D24" s="68"/>
      <c r="E24" s="32"/>
      <c r="K24" s="2"/>
    </row>
    <row r="25" spans="1:13" x14ac:dyDescent="0.2">
      <c r="C25"/>
      <c r="K25" s="2"/>
    </row>
    <row r="26" spans="1:13" x14ac:dyDescent="0.2">
      <c r="A26" t="s">
        <v>9</v>
      </c>
      <c r="C26" s="19">
        <f>SUM(C14:C24)</f>
        <v>104496347</v>
      </c>
      <c r="D26" s="19">
        <f>SUM(D14:D24)</f>
        <v>33808487</v>
      </c>
      <c r="E26" s="19">
        <f>SUM(E14:E24)</f>
        <v>138304834</v>
      </c>
      <c r="K26" s="2"/>
    </row>
    <row r="27" spans="1:13" ht="12" thickBot="1" x14ac:dyDescent="0.25">
      <c r="A27" s="6"/>
      <c r="B27" s="6"/>
      <c r="C27" s="210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C12&amp;","&amp;D12&amp;" Provided by TDI.  Accident years ending "&amp;TEXT($L$22,"m/d/xx")</f>
        <v>(2),(3)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B32" s="22"/>
      <c r="K32" s="2"/>
    </row>
    <row r="33" spans="1:11" x14ac:dyDescent="0.2">
      <c r="B33" s="22"/>
      <c r="K33" s="2"/>
    </row>
    <row r="34" spans="1:11" x14ac:dyDescent="0.2">
      <c r="K34" s="2"/>
    </row>
    <row r="35" spans="1:11" x14ac:dyDescent="0.2">
      <c r="A35" s="60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211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</sheetPr>
  <dimension ref="A1:M69"/>
  <sheetViews>
    <sheetView showGridLines="0" topLeftCell="A7" workbookViewId="0">
      <selection activeCell="C23" sqref="C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12/31/19</v>
      </c>
      <c r="B4" s="12"/>
      <c r="K4" s="2"/>
    </row>
    <row r="5" spans="1:12" x14ac:dyDescent="0.2">
      <c r="A5" t="s">
        <v>45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60</v>
      </c>
      <c r="K9" s="2"/>
      <c r="L9" s="27"/>
    </row>
    <row r="10" spans="1:12" x14ac:dyDescent="0.2">
      <c r="A10" t="s">
        <v>53</v>
      </c>
      <c r="K10" s="2"/>
    </row>
    <row r="11" spans="1:12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C13" s="60"/>
      <c r="D13" s="60"/>
      <c r="K13" s="2"/>
    </row>
    <row r="14" spans="1:12" x14ac:dyDescent="0.2">
      <c r="A14" t="str">
        <f t="shared" ref="A14:A22" si="0">TEXT(A15-1,"#")</f>
        <v>2010</v>
      </c>
      <c r="B14" s="25"/>
      <c r="C14" s="82">
        <f>ROUND('[3]TICO 3'!$Y25,0)</f>
        <v>3445556</v>
      </c>
      <c r="D14" s="82">
        <f>ROUND('[3]TICO 3'!T25,0)</f>
        <v>187854</v>
      </c>
      <c r="E14" s="31">
        <f t="shared" ref="E14:E23" si="1">C14+D14</f>
        <v>3633410</v>
      </c>
      <c r="K14" s="2"/>
    </row>
    <row r="15" spans="1:12" x14ac:dyDescent="0.2">
      <c r="A15" t="str">
        <f t="shared" si="0"/>
        <v>2011</v>
      </c>
      <c r="B15" s="25"/>
      <c r="C15" s="82">
        <f>ROUND('[3]TICO 3'!$Y26,0)</f>
        <v>19199535</v>
      </c>
      <c r="D15" s="82">
        <f>ROUND('[3]TICO 3'!T26,0)</f>
        <v>0</v>
      </c>
      <c r="E15" s="31">
        <f t="shared" si="1"/>
        <v>19199535</v>
      </c>
      <c r="K15" s="2"/>
    </row>
    <row r="16" spans="1:12" x14ac:dyDescent="0.2">
      <c r="A16" t="str">
        <f t="shared" si="0"/>
        <v>2012</v>
      </c>
      <c r="B16" s="25"/>
      <c r="C16" s="82">
        <f>ROUND('[3]TICO 3'!$Y27,0)</f>
        <v>20626638</v>
      </c>
      <c r="D16" s="82">
        <f>ROUND('[3]TICO 3'!T27,0)</f>
        <v>0</v>
      </c>
      <c r="E16" s="31">
        <f t="shared" si="1"/>
        <v>20626638</v>
      </c>
      <c r="K16" s="2"/>
    </row>
    <row r="17" spans="1:13" x14ac:dyDescent="0.2">
      <c r="A17" t="str">
        <f t="shared" si="0"/>
        <v>2013</v>
      </c>
      <c r="B17" s="25"/>
      <c r="C17" s="82">
        <f>ROUND('[3]TICO 3'!$Y28,0)</f>
        <v>6175709</v>
      </c>
      <c r="D17" s="82">
        <f>ROUND('[3]TICO 3'!T28,0)</f>
        <v>0</v>
      </c>
      <c r="E17" s="31">
        <f t="shared" si="1"/>
        <v>6175709</v>
      </c>
      <c r="K17" s="2"/>
    </row>
    <row r="18" spans="1:13" x14ac:dyDescent="0.2">
      <c r="A18" t="str">
        <f t="shared" si="0"/>
        <v>2014</v>
      </c>
      <c r="B18" s="25"/>
      <c r="C18" s="82">
        <f>ROUND('[3]TICO 3'!$Y29,0)</f>
        <v>1617725</v>
      </c>
      <c r="D18" s="82">
        <f>ROUND('[3]TICO 3'!T29,0)</f>
        <v>0</v>
      </c>
      <c r="E18" s="31">
        <f t="shared" si="1"/>
        <v>1617725</v>
      </c>
      <c r="K18" s="2"/>
    </row>
    <row r="19" spans="1:13" x14ac:dyDescent="0.2">
      <c r="A19" t="str">
        <f t="shared" si="0"/>
        <v>2015</v>
      </c>
      <c r="B19" s="25"/>
      <c r="C19" s="82">
        <f>ROUND('[3]TICO 3'!$Y30,0)</f>
        <v>9413903</v>
      </c>
      <c r="D19" s="82">
        <f>ROUND('[3]TICO 3'!T30,0)</f>
        <v>0</v>
      </c>
      <c r="E19" s="31">
        <f t="shared" si="1"/>
        <v>9413903</v>
      </c>
      <c r="K19" s="2"/>
    </row>
    <row r="20" spans="1:13" x14ac:dyDescent="0.2">
      <c r="A20" t="str">
        <f t="shared" si="0"/>
        <v>2016</v>
      </c>
      <c r="B20" s="25"/>
      <c r="C20" s="82">
        <f>ROUND('[3]TICO 3'!$Y31,0)</f>
        <v>9521301</v>
      </c>
      <c r="D20" s="82">
        <f>ROUND('[3]TICO 3'!T31,0)</f>
        <v>0</v>
      </c>
      <c r="E20" s="31">
        <f t="shared" si="1"/>
        <v>9521301</v>
      </c>
      <c r="K20" s="2"/>
    </row>
    <row r="21" spans="1:13" x14ac:dyDescent="0.2">
      <c r="A21" t="str">
        <f t="shared" si="0"/>
        <v>2017</v>
      </c>
      <c r="B21" s="25"/>
      <c r="C21" s="82">
        <f>ROUND('[3]TICO 3'!$Y32,0)</f>
        <v>7629476</v>
      </c>
      <c r="D21" s="82">
        <f>ROUND('[3]TICO 3'!T32,0)</f>
        <v>240658023</v>
      </c>
      <c r="E21" s="31">
        <f t="shared" si="1"/>
        <v>248287499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82">
        <f>ROUND('[3]TICO 3'!$Y33,0)</f>
        <v>1103506</v>
      </c>
      <c r="D22" s="82">
        <f>ROUND('[3]TICO 3'!T33,0)</f>
        <v>0</v>
      </c>
      <c r="E22" s="125">
        <f t="shared" si="1"/>
        <v>1103506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82">
        <f>ROUND('[3]TICO 3'!$Y34,0)</f>
        <v>655541</v>
      </c>
      <c r="D23" s="82">
        <f>ROUND('[3]TICO 3'!T34,0)</f>
        <v>0</v>
      </c>
      <c r="E23" s="125">
        <f t="shared" si="1"/>
        <v>655541</v>
      </c>
      <c r="K23" s="2"/>
      <c r="L23" s="86"/>
      <c r="M23" s="86"/>
    </row>
    <row r="24" spans="1:13" x14ac:dyDescent="0.2">
      <c r="A24" s="9"/>
      <c r="B24" s="26"/>
      <c r="C24" s="68"/>
      <c r="D24" s="68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79388890</v>
      </c>
      <c r="D26" s="19">
        <f>SUM(D14:D24)</f>
        <v>240845877</v>
      </c>
      <c r="E26" s="19">
        <f>SUM(E14:E24)</f>
        <v>320234767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C12&amp;","&amp;D12&amp; " Provided by TDI.  Accident years ending "&amp;TEXT($L$22,"m/d/xx")</f>
        <v>(2),(3)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92D050"/>
  </sheetPr>
  <dimension ref="A1:M69"/>
  <sheetViews>
    <sheetView showGridLines="0" workbookViewId="0">
      <selection activeCell="C23" sqref="C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63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12/31/19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60</v>
      </c>
      <c r="K9" s="2"/>
      <c r="L9" s="27"/>
    </row>
    <row r="10" spans="1:12" x14ac:dyDescent="0.2">
      <c r="A10" t="s">
        <v>53</v>
      </c>
      <c r="K10" s="2"/>
    </row>
    <row r="11" spans="1:12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2010</v>
      </c>
      <c r="B14" s="25"/>
      <c r="C14" s="82">
        <f>ROUND('[3]TICO 3'!Z25,0)</f>
        <v>6663982</v>
      </c>
      <c r="D14" s="82">
        <f>ROUND('[3]TICO 3'!U25,0)</f>
        <v>1063585</v>
      </c>
      <c r="E14" s="31">
        <f>C14+D14</f>
        <v>7727567</v>
      </c>
      <c r="K14" s="2"/>
    </row>
    <row r="15" spans="1:12" x14ac:dyDescent="0.2">
      <c r="A15" t="str">
        <f t="shared" si="0"/>
        <v>2011</v>
      </c>
      <c r="B15" s="25"/>
      <c r="C15" s="82">
        <f>ROUND('[3]TICO 3'!Z26,0)</f>
        <v>56124736</v>
      </c>
      <c r="D15" s="82">
        <f>ROUND('[3]TICO 3'!U26,0)</f>
        <v>0</v>
      </c>
      <c r="E15" s="31">
        <f t="shared" ref="E15:E23" si="1">C15+D15</f>
        <v>56124736</v>
      </c>
      <c r="K15" s="2"/>
    </row>
    <row r="16" spans="1:12" x14ac:dyDescent="0.2">
      <c r="A16" t="str">
        <f t="shared" si="0"/>
        <v>2012</v>
      </c>
      <c r="B16" s="25"/>
      <c r="C16" s="82">
        <f>ROUND('[3]TICO 3'!Z27,0)</f>
        <v>18946421</v>
      </c>
      <c r="D16" s="82">
        <f>ROUND('[3]TICO 3'!U27,0)</f>
        <v>0</v>
      </c>
      <c r="E16" s="31">
        <f t="shared" si="1"/>
        <v>18946421</v>
      </c>
      <c r="K16" s="2"/>
    </row>
    <row r="17" spans="1:13" x14ac:dyDescent="0.2">
      <c r="A17" t="str">
        <f t="shared" si="0"/>
        <v>2013</v>
      </c>
      <c r="B17" s="25"/>
      <c r="C17" s="82">
        <f>ROUND('[3]TICO 3'!Z28,0)</f>
        <v>4828213</v>
      </c>
      <c r="D17" s="82">
        <f>ROUND('[3]TICO 3'!U28,0)</f>
        <v>0</v>
      </c>
      <c r="E17" s="31">
        <f t="shared" si="1"/>
        <v>4828213</v>
      </c>
      <c r="K17" s="2"/>
    </row>
    <row r="18" spans="1:13" x14ac:dyDescent="0.2">
      <c r="A18" t="str">
        <f t="shared" si="0"/>
        <v>2014</v>
      </c>
      <c r="B18" s="25"/>
      <c r="C18" s="82">
        <f>ROUND('[3]TICO 3'!Z29,0)</f>
        <v>2844586</v>
      </c>
      <c r="D18" s="82">
        <f>ROUND('[3]TICO 3'!U29,0)</f>
        <v>0</v>
      </c>
      <c r="E18" s="31">
        <f t="shared" si="1"/>
        <v>2844586</v>
      </c>
      <c r="K18" s="2"/>
    </row>
    <row r="19" spans="1:13" x14ac:dyDescent="0.2">
      <c r="A19" t="str">
        <f t="shared" si="0"/>
        <v>2015</v>
      </c>
      <c r="B19" s="25"/>
      <c r="C19" s="82">
        <f>ROUND('[3]TICO 3'!Z30,0)</f>
        <v>86349948</v>
      </c>
      <c r="D19" s="82">
        <f>ROUND('[3]TICO 3'!U30,0)</f>
        <v>0</v>
      </c>
      <c r="E19" s="31">
        <f t="shared" si="1"/>
        <v>86349948</v>
      </c>
      <c r="K19" s="2"/>
    </row>
    <row r="20" spans="1:13" x14ac:dyDescent="0.2">
      <c r="A20" t="str">
        <f t="shared" si="0"/>
        <v>2016</v>
      </c>
      <c r="B20" s="25"/>
      <c r="C20" s="82">
        <f>ROUND('[3]TICO 3'!Z31,0)</f>
        <v>12162624</v>
      </c>
      <c r="D20" s="82">
        <f>ROUND('[3]TICO 3'!U31,0)</f>
        <v>0</v>
      </c>
      <c r="E20" s="31">
        <f t="shared" si="1"/>
        <v>12162624</v>
      </c>
      <c r="K20" s="2"/>
    </row>
    <row r="21" spans="1:13" x14ac:dyDescent="0.2">
      <c r="A21" t="str">
        <f t="shared" si="0"/>
        <v>2017</v>
      </c>
      <c r="B21" s="25"/>
      <c r="C21" s="82">
        <f>ROUND('[3]TICO 3'!Z32,0)</f>
        <v>21764714</v>
      </c>
      <c r="D21" s="82">
        <f>ROUND('[3]TICO 3'!U32,0)</f>
        <v>607746813</v>
      </c>
      <c r="E21" s="31">
        <f t="shared" si="1"/>
        <v>629511527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82">
        <f>ROUND('[3]TICO 3'!Z33,0)</f>
        <v>6649393</v>
      </c>
      <c r="D22" s="82">
        <f>ROUND('[3]TICO 3'!U33,0)</f>
        <v>0</v>
      </c>
      <c r="E22" s="125">
        <f t="shared" si="1"/>
        <v>6649393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82">
        <f>ROUND('[3]TICO 3'!Z34,0)</f>
        <v>8685429</v>
      </c>
      <c r="D23" s="82">
        <f>ROUND('[3]TICO 3'!U34,0)</f>
        <v>0</v>
      </c>
      <c r="E23" s="125">
        <f t="shared" si="1"/>
        <v>8685429</v>
      </c>
      <c r="K23" s="2"/>
      <c r="L23" s="86"/>
      <c r="M23" s="86"/>
    </row>
    <row r="24" spans="1:13" x14ac:dyDescent="0.2">
      <c r="A24" s="26"/>
      <c r="B24" s="26"/>
      <c r="C24" s="68"/>
      <c r="D24" s="68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225020046</v>
      </c>
      <c r="D26" s="19">
        <f>SUM(D14:D24)</f>
        <v>608810398</v>
      </c>
      <c r="E26" s="19">
        <f>SUM(E14:E24)</f>
        <v>833830444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B33" s="22"/>
      <c r="K33" s="2"/>
    </row>
    <row r="34" spans="1:11" x14ac:dyDescent="0.2">
      <c r="A34" s="60"/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92D050"/>
  </sheetPr>
  <dimension ref="A1:R69"/>
  <sheetViews>
    <sheetView showGridLines="0" workbookViewId="0">
      <selection activeCell="C23" sqref="C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8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8" x14ac:dyDescent="0.2">
      <c r="A2" s="8" t="str">
        <f>'1'!$A$2</f>
        <v>Residential Property - Wind &amp; Hail</v>
      </c>
      <c r="B2" s="12"/>
      <c r="J2" s="7" t="s">
        <v>64</v>
      </c>
      <c r="K2" s="2"/>
    </row>
    <row r="3" spans="1:18" x14ac:dyDescent="0.2">
      <c r="A3" s="8" t="str">
        <f>'1'!$A$3</f>
        <v>Rate Level Review</v>
      </c>
      <c r="B3" s="12"/>
      <c r="K3" s="2"/>
    </row>
    <row r="4" spans="1:18" x14ac:dyDescent="0.2">
      <c r="A4" t="str">
        <f>"Summary of TWIA Historical Paid Loss as of "&amp;TEXT($M$22,"m/d/yy")</f>
        <v>Summary of TWIA Historical Paid Loss as of 12/31/19</v>
      </c>
      <c r="B4" s="12"/>
      <c r="K4" s="2"/>
    </row>
    <row r="5" spans="1:18" x14ac:dyDescent="0.2">
      <c r="A5" t="s">
        <v>339</v>
      </c>
      <c r="B5" s="12"/>
      <c r="K5" s="2"/>
    </row>
    <row r="6" spans="1:18" x14ac:dyDescent="0.2">
      <c r="K6" s="2"/>
    </row>
    <row r="7" spans="1:18" ht="12" thickBot="1" x14ac:dyDescent="0.25">
      <c r="A7" s="6"/>
      <c r="B7" s="6"/>
      <c r="C7" s="6"/>
      <c r="D7" s="6"/>
      <c r="E7" s="6"/>
      <c r="K7" s="2"/>
    </row>
    <row r="8" spans="1:18" ht="12" thickTop="1" x14ac:dyDescent="0.2">
      <c r="K8" s="2"/>
      <c r="Q8" s="19"/>
      <c r="R8" s="19"/>
    </row>
    <row r="9" spans="1:18" x14ac:dyDescent="0.2">
      <c r="C9" s="24" t="s">
        <v>60</v>
      </c>
      <c r="K9" s="2"/>
      <c r="L9" s="27"/>
      <c r="Q9" s="19"/>
      <c r="R9" s="19"/>
    </row>
    <row r="10" spans="1:18" x14ac:dyDescent="0.2">
      <c r="A10" t="s">
        <v>53</v>
      </c>
      <c r="K10" s="2"/>
      <c r="Q10" s="19"/>
      <c r="R10" s="19"/>
    </row>
    <row r="11" spans="1:18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  <c r="Q11" s="19"/>
      <c r="R11" s="19"/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8" x14ac:dyDescent="0.2">
      <c r="K13" s="2"/>
    </row>
    <row r="14" spans="1:18" x14ac:dyDescent="0.2">
      <c r="A14" t="str">
        <f t="shared" ref="A14:A22" si="0">TEXT(A15-1,"#")</f>
        <v>2010</v>
      </c>
      <c r="B14" s="25"/>
      <c r="C14" s="82">
        <f>ROUND('[3]TICO 3'!AA25,0)</f>
        <v>182872</v>
      </c>
      <c r="D14" s="82">
        <f>ROUND('[3]TICO 3'!V25,0)</f>
        <v>0</v>
      </c>
      <c r="E14" s="31">
        <f>C14+D14</f>
        <v>182872</v>
      </c>
      <c r="F14" s="19"/>
      <c r="K14" s="2"/>
    </row>
    <row r="15" spans="1:18" x14ac:dyDescent="0.2">
      <c r="A15" t="str">
        <f t="shared" si="0"/>
        <v>2011</v>
      </c>
      <c r="B15" s="25"/>
      <c r="C15" s="82">
        <f>ROUND('[3]TICO 3'!AA26,0)</f>
        <v>54382</v>
      </c>
      <c r="D15" s="82">
        <f>ROUND('[3]TICO 3'!V26,0)</f>
        <v>0</v>
      </c>
      <c r="E15" s="31">
        <f t="shared" ref="E15:E22" si="1">C15+D15</f>
        <v>54382</v>
      </c>
      <c r="F15" s="19"/>
      <c r="K15" s="2"/>
    </row>
    <row r="16" spans="1:18" x14ac:dyDescent="0.2">
      <c r="A16" t="str">
        <f t="shared" si="0"/>
        <v>2012</v>
      </c>
      <c r="B16" s="25"/>
      <c r="C16" s="82">
        <f>ROUND('[3]TICO 3'!AA27,0)</f>
        <v>259290</v>
      </c>
      <c r="D16" s="82">
        <f>ROUND('[3]TICO 3'!V27,0)</f>
        <v>0</v>
      </c>
      <c r="E16" s="31">
        <f t="shared" si="1"/>
        <v>259290</v>
      </c>
      <c r="F16" s="19"/>
      <c r="K16" s="2"/>
    </row>
    <row r="17" spans="1:13" x14ac:dyDescent="0.2">
      <c r="A17" t="str">
        <f t="shared" si="0"/>
        <v>2013</v>
      </c>
      <c r="B17" s="25"/>
      <c r="C17" s="82">
        <f>ROUND('[3]TICO 3'!AA28,0)</f>
        <v>502759</v>
      </c>
      <c r="D17" s="82">
        <f>ROUND('[3]TICO 3'!V28,0)</f>
        <v>0</v>
      </c>
      <c r="E17" s="31">
        <f t="shared" si="1"/>
        <v>502759</v>
      </c>
      <c r="F17" s="19"/>
      <c r="K17" s="2"/>
    </row>
    <row r="18" spans="1:13" x14ac:dyDescent="0.2">
      <c r="A18" t="str">
        <f t="shared" si="0"/>
        <v>2014</v>
      </c>
      <c r="B18" s="25"/>
      <c r="C18" s="82">
        <f>ROUND('[3]TICO 3'!AA29,0)</f>
        <v>30748</v>
      </c>
      <c r="D18" s="82">
        <f>ROUND('[3]TICO 3'!V29,0)</f>
        <v>0</v>
      </c>
      <c r="E18" s="31">
        <f t="shared" si="1"/>
        <v>30748</v>
      </c>
      <c r="F18" s="19"/>
      <c r="K18" s="2"/>
    </row>
    <row r="19" spans="1:13" x14ac:dyDescent="0.2">
      <c r="A19" t="str">
        <f t="shared" si="0"/>
        <v>2015</v>
      </c>
      <c r="B19" s="25"/>
      <c r="C19" s="82">
        <f>ROUND('[3]TICO 3'!AA30,0)</f>
        <v>322838</v>
      </c>
      <c r="D19" s="82">
        <f>ROUND('[3]TICO 3'!V30,0)</f>
        <v>0</v>
      </c>
      <c r="E19" s="31">
        <f t="shared" si="1"/>
        <v>322838</v>
      </c>
      <c r="F19" s="19"/>
      <c r="K19" s="2"/>
    </row>
    <row r="20" spans="1:13" x14ac:dyDescent="0.2">
      <c r="A20" t="str">
        <f t="shared" si="0"/>
        <v>2016</v>
      </c>
      <c r="B20" s="25"/>
      <c r="C20" s="82">
        <f>ROUND('[3]TICO 3'!AA31,0)</f>
        <v>446449</v>
      </c>
      <c r="D20" s="82">
        <f>ROUND('[3]TICO 3'!V31,0)</f>
        <v>0</v>
      </c>
      <c r="E20" s="31">
        <f t="shared" si="1"/>
        <v>446449</v>
      </c>
      <c r="F20" s="19"/>
      <c r="K20" s="2"/>
    </row>
    <row r="21" spans="1:13" x14ac:dyDescent="0.2">
      <c r="A21" t="str">
        <f t="shared" si="0"/>
        <v>2017</v>
      </c>
      <c r="B21" s="25"/>
      <c r="C21" s="82">
        <f>ROUND('[3]TICO 3'!AA32,0)</f>
        <v>481121</v>
      </c>
      <c r="D21" s="82">
        <f>ROUND('[3]TICO 3'!V32,0)</f>
        <v>3233870</v>
      </c>
      <c r="E21" s="31">
        <f t="shared" si="1"/>
        <v>3714991</v>
      </c>
      <c r="F21" s="19"/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25"/>
      <c r="C22" s="82">
        <f>ROUND('[3]TICO 3'!AA33,0)</f>
        <v>282195</v>
      </c>
      <c r="D22" s="82">
        <f>ROUND('[3]TICO 3'!V33,0)</f>
        <v>0</v>
      </c>
      <c r="E22" s="31">
        <f t="shared" si="1"/>
        <v>282195</v>
      </c>
      <c r="F22" s="19"/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25"/>
      <c r="C23" s="82">
        <f>ROUND('[3]TICO 3'!AA34,0)</f>
        <v>1800402</v>
      </c>
      <c r="D23" s="82">
        <f>ROUND('[3]TICO 3'!V34,0)</f>
        <v>0</v>
      </c>
      <c r="E23" s="31">
        <f>C23+D23</f>
        <v>1800402</v>
      </c>
      <c r="F23" s="19"/>
      <c r="K23" s="2"/>
      <c r="L23" s="86"/>
      <c r="M23" s="86"/>
    </row>
    <row r="24" spans="1:13" x14ac:dyDescent="0.2">
      <c r="A24" s="26"/>
      <c r="B24" s="26"/>
      <c r="C24" s="68"/>
      <c r="D24" s="68"/>
      <c r="E24" s="32"/>
      <c r="F24" s="19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4363056</v>
      </c>
      <c r="D26" s="19">
        <f>SUM(D14:D24)</f>
        <v>3233870</v>
      </c>
      <c r="E26" s="19">
        <f>SUM(E14:E24)</f>
        <v>7596926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A33" s="60"/>
      <c r="B33" s="22"/>
      <c r="K33" s="2"/>
    </row>
    <row r="34" spans="1:11" x14ac:dyDescent="0.2"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64"/>
  <sheetViews>
    <sheetView showGridLines="0" workbookViewId="0">
      <selection activeCell="J21" sqref="J21"/>
    </sheetView>
  </sheetViews>
  <sheetFormatPr defaultColWidth="11.33203125" defaultRowHeight="11.25" x14ac:dyDescent="0.2"/>
  <cols>
    <col min="1" max="1" width="8.5" style="133" bestFit="1" customWidth="1"/>
    <col min="2" max="2" width="10.6640625" style="133" customWidth="1"/>
    <col min="3" max="4" width="11.33203125" style="133" customWidth="1"/>
    <col min="5" max="5" width="12.1640625" style="133" customWidth="1"/>
    <col min="6" max="10" width="11.33203125" style="133" customWidth="1"/>
    <col min="11" max="11" width="11.33203125" style="133" hidden="1" customWidth="1"/>
    <col min="12" max="12" width="2.5" style="133" customWidth="1"/>
    <col min="13" max="16384" width="11.33203125" style="133"/>
  </cols>
  <sheetData>
    <row r="1" spans="1:18" x14ac:dyDescent="0.2">
      <c r="A1" s="8" t="str">
        <f>'1'!$A$1</f>
        <v>Texas Windstorm Insurance Association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7" t="s">
        <v>20</v>
      </c>
      <c r="M1" s="132"/>
    </row>
    <row r="2" spans="1:18" x14ac:dyDescent="0.2">
      <c r="A2" s="8" t="str">
        <f>'1'!$A$2</f>
        <v>Residential Property - Wind &amp; Hail</v>
      </c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7" t="s">
        <v>94</v>
      </c>
      <c r="M2" s="134"/>
    </row>
    <row r="3" spans="1:18" x14ac:dyDescent="0.2">
      <c r="A3" s="8" t="str">
        <f>'1'!$A$3</f>
        <v>Rate Level Review</v>
      </c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1"/>
      <c r="M3" s="134"/>
    </row>
    <row r="4" spans="1:18" x14ac:dyDescent="0.2">
      <c r="A4" s="130" t="s">
        <v>267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4"/>
    </row>
    <row r="5" spans="1:18" x14ac:dyDescent="0.2">
      <c r="A5" s="135"/>
      <c r="B5" s="136"/>
      <c r="C5" s="135"/>
      <c r="D5" s="135"/>
      <c r="E5" s="135"/>
      <c r="F5" s="130"/>
      <c r="G5" s="130"/>
      <c r="H5" s="130"/>
      <c r="I5" s="130"/>
      <c r="J5" s="130"/>
      <c r="K5" s="130"/>
      <c r="L5" s="130"/>
      <c r="M5" s="134"/>
    </row>
    <row r="6" spans="1:18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4"/>
    </row>
    <row r="7" spans="1:18" ht="12" thickBot="1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0"/>
      <c r="K7" s="130"/>
      <c r="L7" s="130"/>
      <c r="M7" s="134"/>
      <c r="N7" t="s">
        <v>215</v>
      </c>
    </row>
    <row r="8" spans="1:18" ht="12" thickTop="1" x14ac:dyDescent="0.2">
      <c r="A8" s="130"/>
      <c r="B8" s="130"/>
      <c r="C8" s="130" t="s">
        <v>71</v>
      </c>
      <c r="D8" s="130"/>
      <c r="E8" s="130"/>
      <c r="F8" s="130"/>
      <c r="G8" s="130"/>
      <c r="H8" s="130"/>
      <c r="I8" s="130"/>
      <c r="J8" s="130"/>
      <c r="K8" s="130"/>
      <c r="L8" s="130"/>
      <c r="M8" s="134"/>
      <c r="N8" s="91">
        <v>43830</v>
      </c>
    </row>
    <row r="9" spans="1:18" x14ac:dyDescent="0.2">
      <c r="A9" s="130"/>
      <c r="B9" s="130"/>
      <c r="C9" s="139" t="s">
        <v>335</v>
      </c>
      <c r="D9" s="130"/>
      <c r="E9" s="130"/>
      <c r="F9" s="130"/>
      <c r="G9" s="130"/>
      <c r="H9" s="130"/>
      <c r="I9" s="130"/>
      <c r="J9" s="130"/>
      <c r="K9" s="130"/>
      <c r="L9" s="130"/>
      <c r="M9" s="134"/>
      <c r="N9"/>
    </row>
    <row r="10" spans="1:18" x14ac:dyDescent="0.2">
      <c r="A10" s="130" t="s">
        <v>232</v>
      </c>
      <c r="B10" s="130"/>
      <c r="C10" s="133" t="s">
        <v>351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4"/>
      <c r="N10"/>
    </row>
    <row r="11" spans="1:18" x14ac:dyDescent="0.2">
      <c r="A11" s="138" t="s">
        <v>234</v>
      </c>
      <c r="B11" s="138"/>
      <c r="C11" s="285" t="s">
        <v>336</v>
      </c>
      <c r="D11" s="139"/>
      <c r="E11" s="139"/>
      <c r="F11" s="139"/>
      <c r="G11" s="139"/>
      <c r="H11" s="130"/>
      <c r="I11" s="130"/>
      <c r="J11" s="130"/>
      <c r="K11" s="130"/>
      <c r="L11" s="130"/>
      <c r="M11" s="134"/>
      <c r="N11"/>
    </row>
    <row r="12" spans="1:18" ht="12" thickBot="1" x14ac:dyDescent="0.25">
      <c r="A12" s="140" t="s">
        <v>189</v>
      </c>
      <c r="B12" s="141"/>
      <c r="C12" s="142" t="s">
        <v>190</v>
      </c>
      <c r="J12" s="130"/>
      <c r="K12" s="130"/>
      <c r="L12" s="130"/>
      <c r="M12" s="134"/>
    </row>
    <row r="13" spans="1:18" x14ac:dyDescent="0.2">
      <c r="A13" s="130"/>
      <c r="B13" s="130"/>
      <c r="C13" s="233"/>
      <c r="D13" s="144" t="s">
        <v>191</v>
      </c>
      <c r="E13" s="130" t="s">
        <v>268</v>
      </c>
      <c r="F13" s="130"/>
      <c r="G13" s="130"/>
      <c r="H13" s="130"/>
      <c r="I13" s="331">
        <v>43647</v>
      </c>
      <c r="J13" s="130"/>
      <c r="K13" s="130"/>
      <c r="L13" s="130"/>
      <c r="M13" s="134"/>
      <c r="N13" s="297" t="s">
        <v>344</v>
      </c>
      <c r="O13" s="298"/>
      <c r="P13" s="298"/>
      <c r="Q13" s="299"/>
    </row>
    <row r="14" spans="1:18" x14ac:dyDescent="0.2">
      <c r="A14" s="139" t="str">
        <f t="shared" ref="A14:A22" si="0">R14&amp;" / 3"</f>
        <v>2011 / 3</v>
      </c>
      <c r="B14" s="130"/>
      <c r="C14" s="287">
        <f>'3.2 premium trend'!G19</f>
        <v>1611.1783995396561</v>
      </c>
      <c r="D14" s="144" t="s">
        <v>141</v>
      </c>
      <c r="E14" s="130" t="s">
        <v>269</v>
      </c>
      <c r="I14" s="332">
        <v>43647</v>
      </c>
      <c r="J14" s="130"/>
      <c r="K14" s="130"/>
      <c r="L14" s="130"/>
      <c r="M14" s="134"/>
      <c r="N14" s="300"/>
      <c r="O14" s="301"/>
      <c r="P14" s="301"/>
      <c r="Q14" s="302"/>
      <c r="R14" s="133">
        <f t="shared" ref="R14:R21" si="1">R15-1</f>
        <v>2011</v>
      </c>
    </row>
    <row r="15" spans="1:18" x14ac:dyDescent="0.2">
      <c r="A15" s="139" t="str">
        <f t="shared" si="0"/>
        <v>2012 / 3</v>
      </c>
      <c r="B15" s="143"/>
      <c r="C15" s="288">
        <f>ROUND('3.2 premium trend'!$G$23,2)</f>
        <v>1600.24</v>
      </c>
      <c r="D15" s="144" t="s">
        <v>120</v>
      </c>
      <c r="E15" s="130" t="s">
        <v>270</v>
      </c>
      <c r="F15" s="130"/>
      <c r="G15" s="130"/>
      <c r="H15" s="130"/>
      <c r="I15" s="331">
        <v>44562</v>
      </c>
      <c r="J15" s="130"/>
      <c r="K15" s="130"/>
      <c r="L15" s="130"/>
      <c r="M15" s="134"/>
      <c r="N15" s="300"/>
      <c r="O15" s="301"/>
      <c r="P15" s="301"/>
      <c r="Q15" s="302"/>
      <c r="R15" s="133">
        <f t="shared" si="1"/>
        <v>2012</v>
      </c>
    </row>
    <row r="16" spans="1:18" x14ac:dyDescent="0.2">
      <c r="A16" s="139" t="str">
        <f t="shared" si="0"/>
        <v>2013 / 3</v>
      </c>
      <c r="B16" s="143"/>
      <c r="C16" s="288">
        <f>ROUND('3.2 premium trend'!$G$27,2)</f>
        <v>1631.23</v>
      </c>
      <c r="D16" s="144" t="s">
        <v>124</v>
      </c>
      <c r="E16" s="130" t="s">
        <v>271</v>
      </c>
      <c r="F16" s="130"/>
      <c r="G16" s="130"/>
      <c r="H16" s="130"/>
      <c r="I16" s="145">
        <f>YEAR(I15)-YEAR(I13+1)+(MONTH(I15)-MONTH(I13+1))/12</f>
        <v>2.5</v>
      </c>
      <c r="J16" s="130"/>
      <c r="K16" s="130"/>
      <c r="L16" s="130"/>
      <c r="M16" s="134"/>
      <c r="N16" s="300"/>
      <c r="O16" s="301"/>
      <c r="P16" s="301"/>
      <c r="Q16" s="302"/>
      <c r="R16" s="133">
        <f t="shared" si="1"/>
        <v>2013</v>
      </c>
    </row>
    <row r="17" spans="1:18" x14ac:dyDescent="0.2">
      <c r="A17" s="139" t="str">
        <f t="shared" si="0"/>
        <v>2014 / 3</v>
      </c>
      <c r="B17" s="143"/>
      <c r="C17" s="288">
        <f>ROUND('3.2 premium trend'!$G$31,2)</f>
        <v>1649.95</v>
      </c>
      <c r="D17" s="144" t="s">
        <v>123</v>
      </c>
      <c r="E17" s="133" t="s">
        <v>272</v>
      </c>
      <c r="I17" s="145">
        <f>YEAR(I15)-YEAR(I14+1)+(MONTH(I15)-MONTH(I14+1))/12</f>
        <v>2.5</v>
      </c>
      <c r="J17" s="130"/>
      <c r="K17" s="130"/>
      <c r="L17" s="130"/>
      <c r="M17" s="134"/>
      <c r="N17" s="300"/>
      <c r="O17" s="301"/>
      <c r="P17" s="301"/>
      <c r="Q17" s="302"/>
      <c r="R17" s="133">
        <f t="shared" si="1"/>
        <v>2014</v>
      </c>
    </row>
    <row r="18" spans="1:18" ht="12" thickBot="1" x14ac:dyDescent="0.25">
      <c r="A18" s="139" t="str">
        <f t="shared" si="0"/>
        <v>2015 / 3</v>
      </c>
      <c r="B18" s="143"/>
      <c r="C18" s="288">
        <f>ROUND('3.2 premium trend'!$G$35,2)</f>
        <v>1664.45</v>
      </c>
      <c r="D18" s="144" t="s">
        <v>122</v>
      </c>
      <c r="E18" s="130" t="s">
        <v>223</v>
      </c>
      <c r="F18" s="130"/>
      <c r="G18" s="130"/>
      <c r="H18" s="130"/>
      <c r="I18" s="153">
        <f>'3.2 premium trend'!$L$58</f>
        <v>1.0656152133163104E-3</v>
      </c>
      <c r="J18" s="130"/>
      <c r="K18" s="130"/>
      <c r="L18" s="130"/>
      <c r="M18" s="134"/>
      <c r="N18" s="303"/>
      <c r="O18" s="304"/>
      <c r="P18" s="304"/>
      <c r="Q18" s="305"/>
      <c r="R18" s="133">
        <f t="shared" si="1"/>
        <v>2015</v>
      </c>
    </row>
    <row r="19" spans="1:18" x14ac:dyDescent="0.2">
      <c r="A19" s="139" t="str">
        <f t="shared" si="0"/>
        <v>2016 / 3</v>
      </c>
      <c r="B19" s="143"/>
      <c r="C19" s="288">
        <f>ROUND('3.2 premium trend'!$G$39,2)</f>
        <v>1667.78</v>
      </c>
      <c r="D19" s="144" t="s">
        <v>121</v>
      </c>
      <c r="E19" s="130" t="s">
        <v>284</v>
      </c>
      <c r="F19" s="130"/>
      <c r="G19" s="130"/>
      <c r="H19" s="130"/>
      <c r="I19" s="153">
        <f>'3.3a'!F28</f>
        <v>1.7000000000000001E-2</v>
      </c>
      <c r="J19" s="130"/>
      <c r="K19" s="130"/>
      <c r="L19" s="130"/>
      <c r="M19" s="134"/>
      <c r="R19" s="133">
        <f t="shared" si="1"/>
        <v>2016</v>
      </c>
    </row>
    <row r="20" spans="1:18" x14ac:dyDescent="0.2">
      <c r="A20" s="139" t="str">
        <f t="shared" si="0"/>
        <v>2017 / 3</v>
      </c>
      <c r="C20" s="288">
        <f>ROUND('3.2 premium trend'!$G$43,2)</f>
        <v>1656.1</v>
      </c>
      <c r="J20" s="130"/>
      <c r="K20" s="130"/>
      <c r="L20" s="130"/>
      <c r="M20" s="134"/>
      <c r="R20" s="133">
        <f t="shared" si="1"/>
        <v>2017</v>
      </c>
    </row>
    <row r="21" spans="1:18" x14ac:dyDescent="0.2">
      <c r="A21" s="139" t="str">
        <f t="shared" si="0"/>
        <v>2018 / 3</v>
      </c>
      <c r="C21" s="288">
        <f>ROUND('3.2 premium trend'!$G$47,2)</f>
        <v>1660.23</v>
      </c>
      <c r="D21" s="144"/>
      <c r="E21" s="130"/>
      <c r="F21" s="146"/>
      <c r="G21" s="146"/>
      <c r="H21" s="130"/>
      <c r="I21" s="145"/>
      <c r="J21" s="130"/>
      <c r="K21" s="130"/>
      <c r="L21" s="130"/>
      <c r="M21" s="134"/>
      <c r="R21" s="133">
        <f t="shared" si="1"/>
        <v>2018</v>
      </c>
    </row>
    <row r="22" spans="1:18" x14ac:dyDescent="0.2">
      <c r="A22" s="139" t="str">
        <f t="shared" si="0"/>
        <v>2019 / 3</v>
      </c>
      <c r="C22" s="288">
        <f>ROUND('3.2 premium trend'!$G$51,2)</f>
        <v>1686.68</v>
      </c>
      <c r="J22" s="130"/>
      <c r="K22" s="130"/>
      <c r="L22" s="130"/>
      <c r="M22" s="134"/>
      <c r="R22" s="133">
        <f>YEAR(N8)</f>
        <v>2019</v>
      </c>
    </row>
    <row r="23" spans="1:18" x14ac:dyDescent="0.2">
      <c r="J23" s="130"/>
      <c r="K23" s="130"/>
      <c r="L23" s="130"/>
      <c r="M23" s="134"/>
    </row>
    <row r="24" spans="1:18" x14ac:dyDescent="0.2">
      <c r="A24" s="130"/>
      <c r="B24" s="143"/>
      <c r="C24" s="147"/>
      <c r="D24" s="148"/>
      <c r="E24" s="148"/>
      <c r="F24" s="148"/>
      <c r="G24" s="148"/>
      <c r="H24" s="130"/>
      <c r="I24" s="130"/>
      <c r="J24" s="130"/>
      <c r="K24" s="130"/>
      <c r="L24" s="130"/>
      <c r="M24" s="134"/>
    </row>
    <row r="25" spans="1:18" x14ac:dyDescent="0.2">
      <c r="A25" s="130"/>
      <c r="B25" s="130"/>
      <c r="C25" s="136" t="s">
        <v>228</v>
      </c>
      <c r="D25" s="136" t="s">
        <v>228</v>
      </c>
      <c r="E25" s="136" t="s">
        <v>229</v>
      </c>
      <c r="F25" s="136" t="s">
        <v>229</v>
      </c>
      <c r="G25" s="136" t="s">
        <v>38</v>
      </c>
      <c r="H25" s="130"/>
      <c r="I25" s="130"/>
      <c r="J25" s="130"/>
      <c r="K25" s="130"/>
      <c r="L25" s="130"/>
      <c r="M25" s="134"/>
    </row>
    <row r="26" spans="1:18" x14ac:dyDescent="0.2">
      <c r="A26" s="130" t="s">
        <v>53</v>
      </c>
      <c r="B26" s="130"/>
      <c r="C26" s="130" t="s">
        <v>127</v>
      </c>
      <c r="D26" s="130" t="s">
        <v>41</v>
      </c>
      <c r="E26" s="130" t="s">
        <v>127</v>
      </c>
      <c r="F26" s="130" t="s">
        <v>41</v>
      </c>
      <c r="G26" s="130" t="s">
        <v>39</v>
      </c>
      <c r="H26" s="130"/>
      <c r="I26" s="130"/>
      <c r="J26" s="130"/>
      <c r="K26" s="130"/>
      <c r="L26" s="130"/>
      <c r="M26" s="134"/>
    </row>
    <row r="27" spans="1:18" x14ac:dyDescent="0.2">
      <c r="A27" s="138" t="s">
        <v>54</v>
      </c>
      <c r="B27" s="138"/>
      <c r="C27" s="138" t="s">
        <v>39</v>
      </c>
      <c r="D27" s="138" t="s">
        <v>39</v>
      </c>
      <c r="E27" s="138" t="s">
        <v>39</v>
      </c>
      <c r="F27" s="138" t="s">
        <v>39</v>
      </c>
      <c r="G27" s="138" t="s">
        <v>37</v>
      </c>
      <c r="H27" s="130"/>
      <c r="I27" s="130"/>
      <c r="J27" s="130"/>
      <c r="K27" s="130"/>
      <c r="L27" s="130"/>
      <c r="M27" s="134"/>
    </row>
    <row r="28" spans="1:18" x14ac:dyDescent="0.2">
      <c r="A28" s="140" t="s">
        <v>114</v>
      </c>
      <c r="B28" s="141"/>
      <c r="C28" s="140" t="s">
        <v>205</v>
      </c>
      <c r="D28" s="140" t="s">
        <v>273</v>
      </c>
      <c r="E28" s="142" t="s">
        <v>274</v>
      </c>
      <c r="F28" s="142" t="s">
        <v>275</v>
      </c>
      <c r="G28" s="142" t="s">
        <v>206</v>
      </c>
      <c r="H28" s="130"/>
      <c r="I28" s="130"/>
      <c r="J28" s="130"/>
      <c r="K28" s="130"/>
      <c r="L28" s="130"/>
      <c r="M28" s="134"/>
    </row>
    <row r="29" spans="1:18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4"/>
    </row>
    <row r="30" spans="1:18" x14ac:dyDescent="0.2">
      <c r="A30" t="str">
        <f t="shared" ref="A30:A38" si="2">TEXT(A31-1,"#")</f>
        <v>2010</v>
      </c>
      <c r="B30" s="143"/>
      <c r="C30" s="195">
        <f>C31</f>
        <v>1.0468611051897891</v>
      </c>
      <c r="D30" s="145">
        <f>'3.3a'!F14</f>
        <v>1.1890000000000001</v>
      </c>
      <c r="E30" s="145">
        <f>(1+I$18)^I$16</f>
        <v>1.0026661675409723</v>
      </c>
      <c r="F30" s="145">
        <f t="shared" ref="F30:F39" si="3">(1+I$19)^I$17</f>
        <v>1.0430434070664827</v>
      </c>
      <c r="G30" s="145">
        <f>ROUND(PRODUCT(D30,F30)/PRODUCT(C30,E30),3)</f>
        <v>1.1819999999999999</v>
      </c>
      <c r="H30" s="130"/>
      <c r="I30" s="130"/>
      <c r="J30" s="130"/>
      <c r="K30" s="130"/>
      <c r="L30" s="130"/>
      <c r="M30" s="134"/>
    </row>
    <row r="31" spans="1:18" x14ac:dyDescent="0.2">
      <c r="A31" t="str">
        <f t="shared" si="2"/>
        <v>2011</v>
      </c>
      <c r="B31" s="143"/>
      <c r="C31" s="196">
        <f>C$22/C14</f>
        <v>1.0468611051897891</v>
      </c>
      <c r="D31" s="145">
        <f>'3.3a'!F15</f>
        <v>1.1830000000000001</v>
      </c>
      <c r="E31" s="145">
        <f t="shared" ref="E31:E39" si="4">(1+I$18)^I$16</f>
        <v>1.0026661675409723</v>
      </c>
      <c r="F31" s="145">
        <f t="shared" si="3"/>
        <v>1.0430434070664827</v>
      </c>
      <c r="G31" s="145">
        <f t="shared" ref="G31:G38" si="5">ROUND(PRODUCT(D31,F31)/PRODUCT(C31,E31),3)</f>
        <v>1.1759999999999999</v>
      </c>
      <c r="H31" s="130"/>
      <c r="I31" s="130"/>
      <c r="J31" s="130"/>
      <c r="K31" s="130"/>
      <c r="L31" s="130"/>
      <c r="M31" s="134"/>
    </row>
    <row r="32" spans="1:18" x14ac:dyDescent="0.2">
      <c r="A32" t="str">
        <f t="shared" si="2"/>
        <v>2012</v>
      </c>
      <c r="B32" s="130"/>
      <c r="C32" s="196">
        <f t="shared" ref="C32:C38" si="6">C$22/C15</f>
        <v>1.0540168974653803</v>
      </c>
      <c r="D32" s="145">
        <f>'3.3a'!F16</f>
        <v>1.159</v>
      </c>
      <c r="E32" s="145">
        <f t="shared" si="4"/>
        <v>1.0026661675409723</v>
      </c>
      <c r="F32" s="145">
        <f t="shared" si="3"/>
        <v>1.0430434070664827</v>
      </c>
      <c r="G32" s="145">
        <f t="shared" si="5"/>
        <v>1.1439999999999999</v>
      </c>
      <c r="H32" s="130"/>
      <c r="I32" s="130"/>
      <c r="J32" s="130"/>
      <c r="K32" s="130"/>
      <c r="L32" s="130"/>
      <c r="M32" s="134"/>
    </row>
    <row r="33" spans="1:13" x14ac:dyDescent="0.2">
      <c r="A33" t="str">
        <f t="shared" si="2"/>
        <v>2013</v>
      </c>
      <c r="B33" s="130"/>
      <c r="C33" s="196">
        <f t="shared" si="6"/>
        <v>1.0339927539341478</v>
      </c>
      <c r="D33" s="145">
        <f>'3.3a'!F17</f>
        <v>1.129</v>
      </c>
      <c r="E33" s="145">
        <f t="shared" si="4"/>
        <v>1.0026661675409723</v>
      </c>
      <c r="F33" s="145">
        <f t="shared" si="3"/>
        <v>1.0430434070664827</v>
      </c>
      <c r="G33" s="145">
        <f t="shared" si="5"/>
        <v>1.1359999999999999</v>
      </c>
      <c r="H33" s="130"/>
      <c r="I33" s="130"/>
      <c r="J33" s="130"/>
      <c r="K33" s="130"/>
      <c r="L33" s="130"/>
      <c r="M33" s="134"/>
    </row>
    <row r="34" spans="1:13" x14ac:dyDescent="0.2">
      <c r="A34" t="str">
        <f t="shared" si="2"/>
        <v>2014</v>
      </c>
      <c r="B34" s="130"/>
      <c r="C34" s="196">
        <f t="shared" si="6"/>
        <v>1.0222612806448681</v>
      </c>
      <c r="D34" s="145">
        <f>'3.3a'!F18</f>
        <v>1.093</v>
      </c>
      <c r="E34" s="145">
        <f t="shared" si="4"/>
        <v>1.0026661675409723</v>
      </c>
      <c r="F34" s="145">
        <f t="shared" si="3"/>
        <v>1.0430434070664827</v>
      </c>
      <c r="G34" s="145">
        <f t="shared" si="5"/>
        <v>1.1120000000000001</v>
      </c>
      <c r="H34" s="130"/>
      <c r="I34" s="130"/>
      <c r="J34" s="130"/>
      <c r="K34" s="130"/>
      <c r="L34" s="130"/>
      <c r="M34" s="134"/>
    </row>
    <row r="35" spans="1:13" x14ac:dyDescent="0.2">
      <c r="A35" t="str">
        <f t="shared" si="2"/>
        <v>2015</v>
      </c>
      <c r="B35" s="130"/>
      <c r="C35" s="196">
        <f t="shared" si="6"/>
        <v>1.0133557631650094</v>
      </c>
      <c r="D35" s="145">
        <f>'3.3a'!F19</f>
        <v>1.071</v>
      </c>
      <c r="E35" s="145">
        <f t="shared" si="4"/>
        <v>1.0026661675409723</v>
      </c>
      <c r="F35" s="145">
        <f t="shared" si="3"/>
        <v>1.0430434070664827</v>
      </c>
      <c r="G35" s="145">
        <f t="shared" si="5"/>
        <v>1.099</v>
      </c>
      <c r="H35" s="130"/>
      <c r="I35" s="130"/>
      <c r="J35" s="130"/>
      <c r="K35" s="130"/>
      <c r="L35" s="130"/>
      <c r="M35" s="134"/>
    </row>
    <row r="36" spans="1:13" x14ac:dyDescent="0.2">
      <c r="A36" t="str">
        <f t="shared" si="2"/>
        <v>2016</v>
      </c>
      <c r="B36" s="130"/>
      <c r="C36" s="196">
        <f t="shared" si="6"/>
        <v>1.0113324299368023</v>
      </c>
      <c r="D36" s="145">
        <f>'3.3a'!F20</f>
        <v>1.073</v>
      </c>
      <c r="E36" s="145">
        <f t="shared" si="4"/>
        <v>1.0026661675409723</v>
      </c>
      <c r="F36" s="145">
        <f t="shared" si="3"/>
        <v>1.0430434070664827</v>
      </c>
      <c r="G36" s="145">
        <f t="shared" si="5"/>
        <v>1.1040000000000001</v>
      </c>
      <c r="H36" s="130"/>
      <c r="I36" s="130"/>
      <c r="J36" s="130"/>
      <c r="K36" s="130"/>
      <c r="L36" s="130"/>
      <c r="M36" s="134"/>
    </row>
    <row r="37" spans="1:13" x14ac:dyDescent="0.2">
      <c r="A37" t="str">
        <f t="shared" si="2"/>
        <v>2017</v>
      </c>
      <c r="B37" s="130"/>
      <c r="C37" s="196">
        <f t="shared" si="6"/>
        <v>1.0184650685345089</v>
      </c>
      <c r="D37" s="145">
        <f>'3.3a'!F21</f>
        <v>1.0609999999999999</v>
      </c>
      <c r="E37" s="145">
        <f t="shared" si="4"/>
        <v>1.0026661675409723</v>
      </c>
      <c r="F37" s="145">
        <f t="shared" si="3"/>
        <v>1.0430434070664827</v>
      </c>
      <c r="G37" s="145">
        <f>ROUND(PRODUCT(D37,F37)/PRODUCT(C37,E37),3)</f>
        <v>1.0840000000000001</v>
      </c>
      <c r="H37" s="130"/>
      <c r="I37" s="130"/>
      <c r="J37" s="130"/>
      <c r="K37" s="130"/>
      <c r="L37" s="130"/>
      <c r="M37" s="134"/>
    </row>
    <row r="38" spans="1:13" x14ac:dyDescent="0.2">
      <c r="A38" t="str">
        <f t="shared" si="2"/>
        <v>2018</v>
      </c>
      <c r="B38" s="130"/>
      <c r="C38" s="196">
        <f t="shared" si="6"/>
        <v>1.0159315275594345</v>
      </c>
      <c r="D38" s="145">
        <f>'3.3a'!F22</f>
        <v>1.0289999999999999</v>
      </c>
      <c r="E38" s="145">
        <f t="shared" si="4"/>
        <v>1.0026661675409723</v>
      </c>
      <c r="F38" s="145">
        <f t="shared" si="3"/>
        <v>1.0430434070664827</v>
      </c>
      <c r="G38" s="145">
        <f t="shared" si="5"/>
        <v>1.054</v>
      </c>
      <c r="H38" s="130"/>
      <c r="I38" s="130"/>
      <c r="J38" s="130"/>
      <c r="K38" s="130"/>
      <c r="L38" s="130"/>
      <c r="M38" s="134"/>
    </row>
    <row r="39" spans="1:13" x14ac:dyDescent="0.2">
      <c r="A39" s="50" t="str">
        <f>TEXT(YEAR($N$8),"#")</f>
        <v>2019</v>
      </c>
      <c r="B39" s="130"/>
      <c r="C39" s="196">
        <f>C$22/C22</f>
        <v>1</v>
      </c>
      <c r="D39" s="145">
        <f>'3.3a'!F23</f>
        <v>1</v>
      </c>
      <c r="E39" s="145">
        <f t="shared" si="4"/>
        <v>1.0026661675409723</v>
      </c>
      <c r="F39" s="145">
        <f t="shared" si="3"/>
        <v>1.0430434070664827</v>
      </c>
      <c r="G39" s="145">
        <f>ROUND(PRODUCT(D39,F39)/PRODUCT(C39,E39),3)</f>
        <v>1.04</v>
      </c>
      <c r="H39" s="130"/>
      <c r="I39" s="130"/>
      <c r="J39" s="130"/>
      <c r="K39" s="130"/>
      <c r="L39" s="130"/>
      <c r="M39" s="134"/>
    </row>
    <row r="40" spans="1:13" ht="12" thickBot="1" x14ac:dyDescent="0.25">
      <c r="A40" s="137"/>
      <c r="B40" s="137"/>
      <c r="C40" s="201"/>
      <c r="D40" s="201"/>
      <c r="E40" s="201"/>
      <c r="F40" s="201"/>
      <c r="G40" s="201"/>
      <c r="H40" s="137"/>
      <c r="I40" s="137"/>
      <c r="J40" s="130"/>
      <c r="K40" s="130"/>
      <c r="L40" s="130"/>
      <c r="M40" s="134"/>
    </row>
    <row r="41" spans="1:13" ht="12" thickTop="1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4"/>
    </row>
    <row r="42" spans="1:13" x14ac:dyDescent="0.2">
      <c r="A42" s="130" t="s">
        <v>17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4"/>
    </row>
    <row r="43" spans="1:13" x14ac:dyDescent="0.2">
      <c r="A43" s="130"/>
      <c r="B43" s="136" t="str">
        <f>C12&amp;" "&amp;'3.2 premium trend'!$L$1&amp;", "&amp;'3.2 premium trend'!$L$2&amp;" "&amp;'3.2 premium trend'!$G$12</f>
        <v>(2) Exhibit 3, Sheet 2 (6)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4"/>
    </row>
    <row r="44" spans="1:13" x14ac:dyDescent="0.2">
      <c r="A44" s="130"/>
      <c r="B44" s="130" t="str">
        <f>D13&amp;" Latest Year / Quarter Ending Date - 6 Months"</f>
        <v>(3) Latest Year / Quarter Ending Date - 6 Months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4"/>
    </row>
    <row r="45" spans="1:13" x14ac:dyDescent="0.2">
      <c r="A45" s="130"/>
      <c r="B45" s="130" t="str">
        <f>D14&amp;" Latest Accident Year Ending Date - 6 Months"</f>
        <v>(4) Latest Accident Year Ending Date - 6 Months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4"/>
    </row>
    <row r="46" spans="1:13" x14ac:dyDescent="0.2">
      <c r="A46" s="130"/>
      <c r="B46" s="130" t="str">
        <f>D15&amp;" Rate Effective Date + 12 Months"</f>
        <v>(5) Rate Effective Date + 12 Months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4"/>
    </row>
    <row r="47" spans="1:13" x14ac:dyDescent="0.2">
      <c r="A47" s="130"/>
      <c r="B47" s="130" t="str">
        <f>D16&amp;" = "&amp;D15&amp;" - "&amp;D13</f>
        <v>(6) = (5) - (3)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4"/>
    </row>
    <row r="48" spans="1:13" x14ac:dyDescent="0.2">
      <c r="A48" s="130"/>
      <c r="B48" s="130" t="str">
        <f>D17&amp;" = "&amp;D15&amp;" - "&amp;D14</f>
        <v>(7) = (5) - (4)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4"/>
    </row>
    <row r="49" spans="1:13" x14ac:dyDescent="0.2">
      <c r="A49" s="130"/>
      <c r="B49" s="136" t="str">
        <f>D18&amp;" "&amp;'3.2 premium trend'!$L$1&amp;", "&amp;'3.2 premium trend'!$L$2</f>
        <v>(8) Exhibit 3, Sheet 2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4"/>
    </row>
    <row r="50" spans="1:13" x14ac:dyDescent="0.2">
      <c r="A50" s="130"/>
      <c r="B50" s="136" t="str">
        <f>D19&amp;" "&amp;'3.3a'!$L$1&amp;", "&amp;'3.3a'!$L$2</f>
        <v>(9) Exhibit 3, Sheet 3a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4"/>
    </row>
    <row r="51" spans="1:13" x14ac:dyDescent="0.2">
      <c r="A51" s="130"/>
      <c r="B51" s="158" t="str">
        <f>C28&amp;" = "&amp;C12&amp;" Indexed to "&amp;A22</f>
        <v>(11) = (2) Indexed to 2019 / 3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4"/>
    </row>
    <row r="52" spans="1:13" x14ac:dyDescent="0.2">
      <c r="A52" s="130"/>
      <c r="B52" s="136" t="str">
        <f>D28&amp;" "&amp;'3.3a'!$L$1&amp;", "&amp;'3.3a'!$L$2</f>
        <v>(12) Exhibit 3, Sheet 3a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4"/>
    </row>
    <row r="53" spans="1:13" x14ac:dyDescent="0.2">
      <c r="A53" s="130"/>
      <c r="B53" s="130" t="str">
        <f>E28&amp;" = [1 + "&amp;D18&amp;"] ^ "&amp;D16</f>
        <v>(13) = [1 + (8)] ^ (6)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4"/>
    </row>
    <row r="54" spans="1:13" x14ac:dyDescent="0.2">
      <c r="A54" s="130"/>
      <c r="B54" s="130" t="str">
        <f>F28&amp;" = [1 + "&amp;D19&amp;"] ^ "&amp;D17</f>
        <v>(14) = [1 + (9)] ^ (7)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4"/>
    </row>
    <row r="55" spans="1:13" x14ac:dyDescent="0.2">
      <c r="A55" s="130"/>
      <c r="B55" s="130" t="str">
        <f>G28&amp;" = ["&amp;D28&amp;" * "&amp;F28&amp;"] / ["&amp;C28&amp;" * "&amp;E28&amp;"]"</f>
        <v>(15) = [(12) * (14)] / [(11) * (13)]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4"/>
    </row>
    <row r="56" spans="1:13" x14ac:dyDescent="0.2">
      <c r="A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4"/>
    </row>
    <row r="57" spans="1:13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4"/>
    </row>
    <row r="58" spans="1:13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4"/>
    </row>
    <row r="59" spans="1:13" x14ac:dyDescent="0.2">
      <c r="A59" s="130"/>
      <c r="B59" s="130"/>
      <c r="C59" s="149"/>
      <c r="D59" s="130"/>
      <c r="E59" s="130"/>
      <c r="F59" s="149"/>
      <c r="G59" s="149"/>
      <c r="H59" s="130"/>
      <c r="I59" s="130"/>
      <c r="J59" s="130"/>
      <c r="K59" s="130"/>
      <c r="L59" s="130"/>
      <c r="M59" s="134"/>
    </row>
    <row r="60" spans="1:13" x14ac:dyDescent="0.2">
      <c r="A60" s="130"/>
      <c r="B60" s="143"/>
      <c r="C60" s="160"/>
      <c r="J60" s="130"/>
      <c r="K60" s="130"/>
      <c r="L60" s="130"/>
      <c r="M60" s="134"/>
    </row>
    <row r="61" spans="1:13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4"/>
    </row>
    <row r="62" spans="1:13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4"/>
    </row>
    <row r="63" spans="1:13" ht="12" thickBot="1" x14ac:dyDescent="0.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4"/>
    </row>
    <row r="64" spans="1:13" ht="12" thickBot="1" x14ac:dyDescent="0.25">
      <c r="A64" s="150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2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</sheetPr>
  <dimension ref="A1:O51"/>
  <sheetViews>
    <sheetView showGridLines="0" workbookViewId="0">
      <selection activeCell="H23" sqref="H23"/>
    </sheetView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4" x14ac:dyDescent="0.2">
      <c r="A1" s="8" t="str">
        <f>'1'!$A$1</f>
        <v>Texas Windstorm Insurance Association</v>
      </c>
      <c r="B1" s="12"/>
      <c r="L1" s="7" t="s">
        <v>67</v>
      </c>
      <c r="M1" s="1"/>
    </row>
    <row r="2" spans="1:14" x14ac:dyDescent="0.2">
      <c r="A2" s="8" t="str">
        <f>'1'!$A$2</f>
        <v>Residential Property - Wind &amp; Hail</v>
      </c>
      <c r="B2" s="12"/>
      <c r="L2" s="7" t="s">
        <v>21</v>
      </c>
      <c r="M2" s="2"/>
    </row>
    <row r="3" spans="1:14" x14ac:dyDescent="0.2">
      <c r="A3" s="8" t="str">
        <f>'1'!$A$3</f>
        <v>Rate Level Review</v>
      </c>
      <c r="B3" s="12"/>
      <c r="M3" s="2"/>
    </row>
    <row r="4" spans="1:14" x14ac:dyDescent="0.2">
      <c r="A4" t="s">
        <v>65</v>
      </c>
      <c r="B4" s="12"/>
      <c r="M4" s="2"/>
    </row>
    <row r="5" spans="1:14" x14ac:dyDescent="0.2">
      <c r="A5" t="s">
        <v>66</v>
      </c>
      <c r="B5" s="12"/>
      <c r="M5" s="2"/>
    </row>
    <row r="6" spans="1:14" x14ac:dyDescent="0.2"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M8" s="2"/>
    </row>
    <row r="9" spans="1:14" x14ac:dyDescent="0.2">
      <c r="C9" s="24" t="s">
        <v>68</v>
      </c>
      <c r="M9" s="2"/>
      <c r="N9" s="27"/>
    </row>
    <row r="10" spans="1:14" x14ac:dyDescent="0.2">
      <c r="A10" t="s">
        <v>53</v>
      </c>
      <c r="M10" s="2"/>
      <c r="N10" t="s">
        <v>69</v>
      </c>
    </row>
    <row r="11" spans="1:14" x14ac:dyDescent="0.2">
      <c r="A11" s="9" t="s">
        <v>54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90">
        <f>(YEAR($O$23)-YEAR($N$23)+1)*12+MONTH($O$23)-MONTH($N$23)</f>
        <v>15</v>
      </c>
    </row>
    <row r="12" spans="1:14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4" x14ac:dyDescent="0.2">
      <c r="M13" s="2"/>
    </row>
    <row r="14" spans="1:14" x14ac:dyDescent="0.2">
      <c r="A14" t="str">
        <f t="shared" ref="A14:A22" si="2">TEXT(A15-1,"#")</f>
        <v>2010</v>
      </c>
      <c r="B14" s="25"/>
      <c r="C14" s="186">
        <f>ROUND('[3]EC LDF'!B$37/1000,0)</f>
        <v>63706</v>
      </c>
      <c r="D14" s="186">
        <f>ROUND('[3]EC LDF'!C$37/1000,0)</f>
        <v>70824</v>
      </c>
      <c r="E14" s="186">
        <f>ROUND('[3]EC LDF'!D$37/1000,0)</f>
        <v>72510</v>
      </c>
      <c r="F14" s="186">
        <f>ROUND('[3]EC LDF'!E$37/1000,0)</f>
        <v>73282</v>
      </c>
      <c r="G14" s="186">
        <f>ROUND('[3]EC LDF'!F$37/1000,0)</f>
        <v>73407</v>
      </c>
      <c r="H14" s="186">
        <f>ROUND('[3]EC LDF'!G$37/1000,0)</f>
        <v>73508</v>
      </c>
      <c r="I14" s="186">
        <f>ROUND('[3]EC LDF'!H$37/1000,0)</f>
        <v>73530</v>
      </c>
      <c r="J14" s="186">
        <f>ROUND('[3]EC LDF'!I$37/1000,0)</f>
        <v>73536</v>
      </c>
      <c r="K14" s="186">
        <f>ROUND('[3]EC LDF'!J$37/1000,0)</f>
        <v>73536</v>
      </c>
      <c r="L14" s="92"/>
      <c r="M14" s="2"/>
    </row>
    <row r="15" spans="1:14" x14ac:dyDescent="0.2">
      <c r="A15" t="str">
        <f t="shared" si="2"/>
        <v>2011</v>
      </c>
      <c r="B15" s="25"/>
      <c r="C15" s="186">
        <f>ROUND('[3]EC LDF'!B$41/1000,0)</f>
        <v>137269</v>
      </c>
      <c r="D15" s="186">
        <f>ROUND('[3]EC LDF'!C$41/1000,0)</f>
        <v>154006</v>
      </c>
      <c r="E15" s="186">
        <f>ROUND('[3]EC LDF'!D$41/1000,0)</f>
        <v>156583</v>
      </c>
      <c r="F15" s="186">
        <f>ROUND('[3]EC LDF'!E$41/1000,0)</f>
        <v>157456</v>
      </c>
      <c r="G15" s="186">
        <f>ROUND('[3]EC LDF'!F$41/1000,0)</f>
        <v>157929</v>
      </c>
      <c r="H15" s="186">
        <f>ROUND('[3]EC LDF'!G$41/1000,0)</f>
        <v>157995</v>
      </c>
      <c r="I15" s="186">
        <f>ROUND('[3]EC LDF'!H$41/1000,0)</f>
        <v>158032</v>
      </c>
      <c r="J15" s="186">
        <f>ROUND('[3]EC LDF'!I$41/1000,0)</f>
        <v>158046</v>
      </c>
      <c r="K15" s="186">
        <f>ROUND('[3]EC LDF'!J$41/1000,0)</f>
        <v>158071</v>
      </c>
      <c r="L15" s="92"/>
      <c r="M15" s="2"/>
    </row>
    <row r="16" spans="1:14" x14ac:dyDescent="0.2">
      <c r="A16" t="str">
        <f t="shared" si="2"/>
        <v>2012</v>
      </c>
      <c r="B16" s="25"/>
      <c r="C16" s="186">
        <f>ROUND('[3]EC LDF'!B$45/1000,0)</f>
        <v>162844</v>
      </c>
      <c r="D16" s="186">
        <f>ROUND('[3]EC LDF'!C$45/1000,0)</f>
        <v>196788</v>
      </c>
      <c r="E16" s="186">
        <f>ROUND('[3]EC LDF'!D$45/1000,0)</f>
        <v>232373</v>
      </c>
      <c r="F16" s="186">
        <f>ROUND('[3]EC LDF'!E$45/1000,0)</f>
        <v>242523</v>
      </c>
      <c r="G16" s="186">
        <f>ROUND('[3]EC LDF'!F$45/1000,0)</f>
        <v>245227</v>
      </c>
      <c r="H16" s="186">
        <f>ROUND('[3]EC LDF'!G$45/1000,0)</f>
        <v>246785</v>
      </c>
      <c r="I16" s="186">
        <f>ROUND('[3]EC LDF'!H$45/1000,0)</f>
        <v>247419</v>
      </c>
      <c r="J16" s="186">
        <f>ROUND('[3]EC LDF'!I$45/1000,0)</f>
        <v>247577</v>
      </c>
      <c r="K16" s="186"/>
      <c r="L16" s="92"/>
      <c r="M16" s="2"/>
    </row>
    <row r="17" spans="1:15" x14ac:dyDescent="0.2">
      <c r="A17" t="str">
        <f>TEXT(A18-1,"#")</f>
        <v>2013</v>
      </c>
      <c r="B17" s="25"/>
      <c r="C17" s="186">
        <f>ROUND('[3]EC LDF'!B$49/1000,0)</f>
        <v>124050</v>
      </c>
      <c r="D17" s="186">
        <f>ROUND('[3]EC LDF'!C$49/1000,0)</f>
        <v>143359</v>
      </c>
      <c r="E17" s="186">
        <f>ROUND('[3]EC LDF'!D$49/1000,0)</f>
        <v>151995</v>
      </c>
      <c r="F17" s="186">
        <f>ROUND('[3]EC LDF'!E$49/1000,0)</f>
        <v>154466</v>
      </c>
      <c r="G17" s="186">
        <f>ROUND('[3]EC LDF'!F$49/1000,0)</f>
        <v>156218</v>
      </c>
      <c r="H17" s="186">
        <f>ROUND('[3]EC LDF'!G$49/1000,0)</f>
        <v>156541</v>
      </c>
      <c r="I17" s="186">
        <f>ROUND('[3]EC LDF'!H$49/1000,0)</f>
        <v>156580</v>
      </c>
      <c r="J17" s="186"/>
      <c r="K17" s="186"/>
      <c r="L17" s="92"/>
      <c r="M17" s="2"/>
    </row>
    <row r="18" spans="1:15" x14ac:dyDescent="0.2">
      <c r="A18" t="str">
        <f t="shared" si="2"/>
        <v>2014</v>
      </c>
      <c r="B18" s="25"/>
      <c r="C18" s="186">
        <f>ROUND('[3]EC LDF'!B$53/1000,0)</f>
        <v>151510</v>
      </c>
      <c r="D18" s="186">
        <f>ROUND('[3]EC LDF'!C$53/1000,0)</f>
        <v>178253</v>
      </c>
      <c r="E18" s="186">
        <f>ROUND('[3]EC LDF'!D$53/1000,0)</f>
        <v>187490</v>
      </c>
      <c r="F18" s="186">
        <f>ROUND('[3]EC LDF'!E$53/1000,0)</f>
        <v>191068</v>
      </c>
      <c r="G18" s="186">
        <f>ROUND('[3]EC LDF'!F$53/1000,0)</f>
        <v>191825</v>
      </c>
      <c r="H18" s="186">
        <f>ROUND('[3]EC LDF'!G$53/1000,0)</f>
        <v>192297</v>
      </c>
      <c r="I18" s="186"/>
      <c r="J18" s="186"/>
      <c r="K18" s="186"/>
      <c r="L18" s="92"/>
      <c r="M18" s="2"/>
    </row>
    <row r="19" spans="1:15" x14ac:dyDescent="0.2">
      <c r="A19" t="str">
        <f t="shared" si="2"/>
        <v>2015</v>
      </c>
      <c r="B19" s="25"/>
      <c r="C19" s="186">
        <f>ROUND('[3]EC LDF'!B$57/1000,0)</f>
        <v>173851</v>
      </c>
      <c r="D19" s="186">
        <f>ROUND('[3]EC LDF'!C$57/1000,0)</f>
        <v>200069</v>
      </c>
      <c r="E19" s="186">
        <f>ROUND('[3]EC LDF'!D$57/1000,0)</f>
        <v>206343</v>
      </c>
      <c r="F19" s="186">
        <f>ROUND('[3]EC LDF'!E$57/1000,0)</f>
        <v>208327</v>
      </c>
      <c r="G19" s="186">
        <f>ROUND('[3]EC LDF'!F$57/1000,0)</f>
        <v>209063</v>
      </c>
      <c r="H19" s="186"/>
      <c r="I19" s="186"/>
      <c r="J19" s="186"/>
      <c r="K19" s="186"/>
      <c r="L19" s="92"/>
      <c r="M19" s="2"/>
    </row>
    <row r="20" spans="1:15" x14ac:dyDescent="0.2">
      <c r="A20" t="str">
        <f t="shared" si="2"/>
        <v>2016</v>
      </c>
      <c r="B20" s="25"/>
      <c r="C20" s="186">
        <f>ROUND('[3]EC LDF'!B$61/1000,0)</f>
        <v>486124</v>
      </c>
      <c r="D20" s="186">
        <f>ROUND('[3]EC LDF'!C$61/1000,0)</f>
        <v>553332</v>
      </c>
      <c r="E20" s="186">
        <f>ROUND('[3]EC LDF'!D$61/1000,0)</f>
        <v>561570</v>
      </c>
      <c r="F20" s="186">
        <f>ROUND('[3]EC LDF'!E$61/1000,0)</f>
        <v>563807</v>
      </c>
      <c r="G20" s="186"/>
      <c r="H20" s="186"/>
      <c r="I20" s="186"/>
      <c r="J20" s="186"/>
      <c r="K20" s="186"/>
      <c r="L20" s="92"/>
      <c r="M20" s="2"/>
    </row>
    <row r="21" spans="1:15" x14ac:dyDescent="0.2">
      <c r="A21" t="str">
        <f t="shared" si="2"/>
        <v>2017</v>
      </c>
      <c r="B21" s="25"/>
      <c r="C21" s="186">
        <f>ROUND('[3]EC LDF'!B$65/1000,0)</f>
        <v>634033</v>
      </c>
      <c r="D21" s="186">
        <f>ROUND('[3]EC LDF'!C$65/1000,0)</f>
        <v>775472</v>
      </c>
      <c r="E21" s="186">
        <f>ROUND('[3]EC LDF'!D$65/1000,0)</f>
        <v>803355</v>
      </c>
      <c r="F21" s="186"/>
      <c r="G21" s="186"/>
      <c r="H21" s="186"/>
      <c r="I21" s="186"/>
      <c r="J21" s="186"/>
      <c r="K21" s="186"/>
      <c r="L21" s="92"/>
      <c r="M21" s="2"/>
    </row>
    <row r="22" spans="1:15" x14ac:dyDescent="0.2">
      <c r="A22" t="str">
        <f t="shared" si="2"/>
        <v>2018</v>
      </c>
      <c r="B22" s="25"/>
      <c r="C22" s="186">
        <f>ROUND('[3]EC LDF'!B69/1000,0)</f>
        <v>181011</v>
      </c>
      <c r="D22" s="186">
        <f>ROUND('[3]EC LDF'!C69/1000,0)</f>
        <v>216648</v>
      </c>
      <c r="E22" s="186"/>
      <c r="F22" s="186"/>
      <c r="G22" s="186"/>
      <c r="H22" s="186"/>
      <c r="I22" s="186"/>
      <c r="J22" s="186"/>
      <c r="K22" s="186"/>
      <c r="L22" s="92"/>
      <c r="M22" s="2"/>
      <c r="N22" t="s">
        <v>217</v>
      </c>
      <c r="O22" t="s">
        <v>218</v>
      </c>
    </row>
    <row r="23" spans="1:15" x14ac:dyDescent="0.2">
      <c r="A23" t="str">
        <f>TEXT(YEAR($N$23),"#")</f>
        <v>2019</v>
      </c>
      <c r="B23" s="25"/>
      <c r="C23" s="186">
        <f>ROUND('[3]EC LDF'!$B$73/1000,0)</f>
        <v>272311</v>
      </c>
      <c r="D23" s="186"/>
      <c r="E23" s="186"/>
      <c r="F23" s="186"/>
      <c r="G23" s="186"/>
      <c r="H23" s="186"/>
      <c r="I23" s="186"/>
      <c r="J23" s="186"/>
      <c r="K23" s="186"/>
      <c r="L23" s="92"/>
      <c r="M23" s="2"/>
      <c r="N23" s="84">
        <f>'[3]EC LDF'!$B$1</f>
        <v>43738</v>
      </c>
      <c r="O23" s="84">
        <f>'[3]EC LDF'!$B$2</f>
        <v>43830</v>
      </c>
    </row>
    <row r="24" spans="1:15" x14ac:dyDescent="0.2">
      <c r="A24" s="9"/>
      <c r="B24" s="26"/>
      <c r="C24" s="93"/>
      <c r="D24" s="93"/>
      <c r="E24" s="93"/>
      <c r="F24" s="93"/>
      <c r="G24" s="93"/>
      <c r="H24" s="93"/>
      <c r="I24" s="93"/>
      <c r="J24" s="93"/>
      <c r="K24" s="93"/>
      <c r="L24" s="92"/>
      <c r="M24" s="2"/>
    </row>
    <row r="25" spans="1:15" x14ac:dyDescent="0.2">
      <c r="M25" s="2"/>
    </row>
    <row r="26" spans="1:15" x14ac:dyDescent="0.2">
      <c r="C26" s="24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2010</v>
      </c>
      <c r="B31" s="25"/>
      <c r="C31" s="39">
        <f>IF(ISNUMBER(D14),D14/C14,"")</f>
        <v>1.1117320189621072</v>
      </c>
      <c r="D31" s="39">
        <f t="shared" ref="D31:J31" si="6">IF(ISNUMBER(E14),E14/D14,"")</f>
        <v>1.0238054896645206</v>
      </c>
      <c r="E31" s="39">
        <f t="shared" si="6"/>
        <v>1.010646807336919</v>
      </c>
      <c r="F31" s="39">
        <f t="shared" si="6"/>
        <v>1.001705739472176</v>
      </c>
      <c r="G31" s="39">
        <f t="shared" si="6"/>
        <v>1.001375890582642</v>
      </c>
      <c r="H31" s="39">
        <f t="shared" si="6"/>
        <v>1.0002992871524188</v>
      </c>
      <c r="I31" s="39">
        <f t="shared" si="6"/>
        <v>1.0000815993472052</v>
      </c>
      <c r="J31" s="39">
        <f t="shared" si="6"/>
        <v>1</v>
      </c>
      <c r="K31" s="39" t="str">
        <f t="shared" ref="K31:K39" si="7">IF(ISNUMBER(M14),M14/K14,"")</f>
        <v/>
      </c>
      <c r="L31" s="39"/>
      <c r="M31" s="2"/>
    </row>
    <row r="32" spans="1:15" x14ac:dyDescent="0.2">
      <c r="A32" t="str">
        <f t="shared" si="5"/>
        <v>2011</v>
      </c>
      <c r="B32" s="25"/>
      <c r="C32" s="39">
        <f t="shared" ref="C32:J32" si="8">IF(ISNUMBER(D15),D15/C15,"")</f>
        <v>1.1219284762036585</v>
      </c>
      <c r="D32" s="39">
        <f t="shared" si="8"/>
        <v>1.0167331142942482</v>
      </c>
      <c r="E32" s="39">
        <f t="shared" si="8"/>
        <v>1.0055753178825289</v>
      </c>
      <c r="F32" s="39">
        <f t="shared" si="8"/>
        <v>1.0030040138197338</v>
      </c>
      <c r="G32" s="39">
        <f t="shared" si="8"/>
        <v>1.0004179093136789</v>
      </c>
      <c r="H32" s="39">
        <f t="shared" si="8"/>
        <v>1.0002341846260958</v>
      </c>
      <c r="I32" s="39">
        <f t="shared" si="8"/>
        <v>1.0000885896527285</v>
      </c>
      <c r="J32" s="39">
        <f t="shared" si="8"/>
        <v>1.0001581817951735</v>
      </c>
      <c r="K32" s="39" t="str">
        <f t="shared" si="7"/>
        <v/>
      </c>
      <c r="L32" s="39"/>
      <c r="M32" s="2"/>
    </row>
    <row r="33" spans="1:13" x14ac:dyDescent="0.2">
      <c r="A33" t="str">
        <f t="shared" si="5"/>
        <v>2012</v>
      </c>
      <c r="B33" s="25"/>
      <c r="C33" s="39">
        <f t="shared" ref="C33:J33" si="9">IF(ISNUMBER(D16),D16/C16,"")</f>
        <v>1.2084448920439192</v>
      </c>
      <c r="D33" s="39">
        <f t="shared" si="9"/>
        <v>1.1808291155964794</v>
      </c>
      <c r="E33" s="39">
        <f t="shared" si="9"/>
        <v>1.0436797734676575</v>
      </c>
      <c r="F33" s="39">
        <f t="shared" si="9"/>
        <v>1.0111494579895515</v>
      </c>
      <c r="G33" s="39">
        <f t="shared" si="9"/>
        <v>1.006353297149172</v>
      </c>
      <c r="H33" s="39">
        <f t="shared" si="9"/>
        <v>1.002569037826448</v>
      </c>
      <c r="I33" s="39">
        <f t="shared" si="9"/>
        <v>1.0006385928324018</v>
      </c>
      <c r="J33" s="39" t="str">
        <f t="shared" si="9"/>
        <v/>
      </c>
      <c r="K33" s="39" t="str">
        <f t="shared" si="7"/>
        <v/>
      </c>
      <c r="L33" s="39"/>
      <c r="M33" s="2"/>
    </row>
    <row r="34" spans="1:13" x14ac:dyDescent="0.2">
      <c r="A34" t="str">
        <f t="shared" si="5"/>
        <v>2013</v>
      </c>
      <c r="B34" s="25"/>
      <c r="C34" s="39">
        <f t="shared" ref="C34:J34" si="10">IF(ISNUMBER(D17),D17/C17,"")</f>
        <v>1.1556549778315195</v>
      </c>
      <c r="D34" s="39">
        <f t="shared" si="10"/>
        <v>1.0602403755606553</v>
      </c>
      <c r="E34" s="39">
        <f t="shared" si="10"/>
        <v>1.016257113720846</v>
      </c>
      <c r="F34" s="39">
        <f t="shared" si="10"/>
        <v>1.0113423018657828</v>
      </c>
      <c r="G34" s="39">
        <f t="shared" si="10"/>
        <v>1.0020676234492825</v>
      </c>
      <c r="H34" s="39">
        <f t="shared" si="10"/>
        <v>1.0002491360090966</v>
      </c>
      <c r="I34" s="39" t="str">
        <f t="shared" si="10"/>
        <v/>
      </c>
      <c r="J34" s="39" t="str">
        <f t="shared" si="10"/>
        <v/>
      </c>
      <c r="K34" s="39" t="str">
        <f t="shared" si="7"/>
        <v/>
      </c>
      <c r="L34" s="39"/>
      <c r="M34" s="2"/>
    </row>
    <row r="35" spans="1:13" x14ac:dyDescent="0.2">
      <c r="A35" t="str">
        <f t="shared" si="5"/>
        <v>2014</v>
      </c>
      <c r="B35" s="25"/>
      <c r="C35" s="39">
        <f t="shared" ref="C35:J35" si="11">IF(ISNUMBER(D18),D18/C18,"")</f>
        <v>1.1765098013332453</v>
      </c>
      <c r="D35" s="39">
        <f t="shared" si="11"/>
        <v>1.0518196047191353</v>
      </c>
      <c r="E35" s="39">
        <f t="shared" si="11"/>
        <v>1.0190836844631714</v>
      </c>
      <c r="F35" s="39">
        <f t="shared" si="11"/>
        <v>1.0039619402516382</v>
      </c>
      <c r="G35" s="39">
        <f t="shared" si="11"/>
        <v>1.0024605760458751</v>
      </c>
      <c r="H35" s="39" t="str">
        <f t="shared" si="11"/>
        <v/>
      </c>
      <c r="I35" s="39" t="str">
        <f t="shared" si="11"/>
        <v/>
      </c>
      <c r="J35" s="39" t="str">
        <f t="shared" si="11"/>
        <v/>
      </c>
      <c r="K35" s="39" t="str">
        <f t="shared" si="7"/>
        <v/>
      </c>
      <c r="L35" s="39"/>
      <c r="M35" s="2"/>
    </row>
    <row r="36" spans="1:13" x14ac:dyDescent="0.2">
      <c r="A36" t="str">
        <f t="shared" si="5"/>
        <v>2015</v>
      </c>
      <c r="B36" s="25"/>
      <c r="C36" s="39">
        <f t="shared" ref="C36:J36" si="12">IF(ISNUMBER(D19),D19/C19,"")</f>
        <v>1.150807300504455</v>
      </c>
      <c r="D36" s="39">
        <f t="shared" si="12"/>
        <v>1.0313591810825264</v>
      </c>
      <c r="E36" s="39">
        <f t="shared" si="12"/>
        <v>1.0096150584221417</v>
      </c>
      <c r="F36" s="39">
        <f t="shared" si="12"/>
        <v>1.0035329074003849</v>
      </c>
      <c r="G36" s="39" t="str">
        <f t="shared" si="12"/>
        <v/>
      </c>
      <c r="H36" s="39" t="str">
        <f t="shared" si="12"/>
        <v/>
      </c>
      <c r="I36" s="39" t="str">
        <f t="shared" si="12"/>
        <v/>
      </c>
      <c r="J36" s="39" t="str">
        <f t="shared" si="12"/>
        <v/>
      </c>
      <c r="K36" s="39" t="str">
        <f t="shared" si="7"/>
        <v/>
      </c>
      <c r="L36" s="39"/>
      <c r="M36" s="2"/>
    </row>
    <row r="37" spans="1:13" x14ac:dyDescent="0.2">
      <c r="A37" t="str">
        <f t="shared" si="5"/>
        <v>2016</v>
      </c>
      <c r="B37" s="25"/>
      <c r="C37" s="39">
        <f t="shared" ref="C37:J37" si="13">IF(ISNUMBER(D20),D20/C20,"")</f>
        <v>1.1382527914688434</v>
      </c>
      <c r="D37" s="39">
        <f t="shared" si="13"/>
        <v>1.0148879876818979</v>
      </c>
      <c r="E37" s="39">
        <f t="shared" si="13"/>
        <v>1.0039834749007248</v>
      </c>
      <c r="F37" s="39" t="str">
        <f t="shared" si="13"/>
        <v/>
      </c>
      <c r="G37" s="39" t="str">
        <f t="shared" si="13"/>
        <v/>
      </c>
      <c r="H37" s="39" t="str">
        <f t="shared" si="13"/>
        <v/>
      </c>
      <c r="I37" s="39" t="str">
        <f t="shared" si="13"/>
        <v/>
      </c>
      <c r="J37" s="39" t="str">
        <f t="shared" si="13"/>
        <v/>
      </c>
      <c r="K37" s="39" t="str">
        <f t="shared" si="7"/>
        <v/>
      </c>
      <c r="L37" s="39"/>
      <c r="M37" s="2"/>
    </row>
    <row r="38" spans="1:13" x14ac:dyDescent="0.2">
      <c r="A38" t="str">
        <f t="shared" si="5"/>
        <v>2017</v>
      </c>
      <c r="B38" s="25"/>
      <c r="C38" s="39">
        <f t="shared" ref="C38:J38" si="14">IF(ISNUMBER(D21),D21/C21,"")</f>
        <v>1.2230782940320142</v>
      </c>
      <c r="D38" s="39">
        <f t="shared" si="14"/>
        <v>1.0359561660511276</v>
      </c>
      <c r="E38" s="39" t="str">
        <f t="shared" si="14"/>
        <v/>
      </c>
      <c r="F38" s="39" t="str">
        <f t="shared" si="14"/>
        <v/>
      </c>
      <c r="G38" s="39" t="str">
        <f t="shared" si="14"/>
        <v/>
      </c>
      <c r="H38" s="39" t="str">
        <f t="shared" si="14"/>
        <v/>
      </c>
      <c r="I38" s="39" t="str">
        <f t="shared" si="14"/>
        <v/>
      </c>
      <c r="J38" s="39" t="str">
        <f t="shared" si="14"/>
        <v/>
      </c>
      <c r="K38" s="39" t="str">
        <f t="shared" si="7"/>
        <v/>
      </c>
      <c r="L38" s="39"/>
      <c r="M38" s="2"/>
    </row>
    <row r="39" spans="1:13" x14ac:dyDescent="0.2">
      <c r="A39" t="str">
        <f t="shared" si="5"/>
        <v>2018</v>
      </c>
      <c r="B39" s="25"/>
      <c r="C39" s="39">
        <f>IF(ISNUMBER(D22),D22/C22,"")</f>
        <v>1.1968775378291927</v>
      </c>
      <c r="D39" s="39" t="str">
        <f t="shared" ref="D39:J39" si="15">IF(ISNUMBER(E22),E22/D22,"")</f>
        <v/>
      </c>
      <c r="E39" s="39" t="str">
        <f t="shared" si="15"/>
        <v/>
      </c>
      <c r="F39" s="39" t="str">
        <f t="shared" si="15"/>
        <v/>
      </c>
      <c r="G39" s="39" t="str">
        <f t="shared" si="15"/>
        <v/>
      </c>
      <c r="H39" s="39" t="str">
        <f t="shared" si="15"/>
        <v/>
      </c>
      <c r="I39" s="39" t="str">
        <f t="shared" si="15"/>
        <v/>
      </c>
      <c r="J39" s="39" t="str">
        <f t="shared" si="15"/>
        <v/>
      </c>
      <c r="K39" s="39" t="str">
        <f t="shared" si="7"/>
        <v/>
      </c>
      <c r="L39" s="39"/>
      <c r="M39" s="2"/>
    </row>
    <row r="40" spans="1:13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</row>
    <row r="41" spans="1:13" x14ac:dyDescent="0.2">
      <c r="C41" s="19"/>
      <c r="M41" s="2"/>
    </row>
    <row r="42" spans="1:13" x14ac:dyDescent="0.2">
      <c r="A42" t="s">
        <v>71</v>
      </c>
      <c r="B42" s="25"/>
      <c r="C42" s="41">
        <f>AVERAGE(C31:C39)</f>
        <v>1.1648095655787729</v>
      </c>
      <c r="D42" s="41">
        <f t="shared" ref="D42:J42" si="16">AVERAGE(D31:D39)</f>
        <v>1.0519538793313239</v>
      </c>
      <c r="E42" s="41">
        <f t="shared" si="16"/>
        <v>1.01554874717057</v>
      </c>
      <c r="F42" s="41">
        <f t="shared" si="16"/>
        <v>1.0057827267998778</v>
      </c>
      <c r="G42" s="41">
        <f t="shared" si="16"/>
        <v>1.0025350593081301</v>
      </c>
      <c r="H42" s="41">
        <f t="shared" si="16"/>
        <v>1.0008379114035149</v>
      </c>
      <c r="I42" s="41">
        <f t="shared" si="16"/>
        <v>1.0002695939441117</v>
      </c>
      <c r="J42" s="41">
        <f t="shared" si="16"/>
        <v>1.0000790908975867</v>
      </c>
      <c r="M42" s="2"/>
    </row>
    <row r="43" spans="1:13" x14ac:dyDescent="0.2">
      <c r="A43" t="s">
        <v>72</v>
      </c>
      <c r="B43" s="25"/>
      <c r="C43" s="41">
        <f>AVERAGE(C35:C39)</f>
        <v>1.1771051450335501</v>
      </c>
      <c r="D43" s="41">
        <f>AVERAGE(D34:D38)</f>
        <v>1.0388526630190686</v>
      </c>
      <c r="E43" s="41">
        <f>AVERAGE(E33:E37)</f>
        <v>1.0185238209949083</v>
      </c>
      <c r="F43" s="41">
        <f>AVERAGE(F32:F36)</f>
        <v>1.0065981242654183</v>
      </c>
      <c r="G43" s="41">
        <f>AVERAGE(G31:G35)</f>
        <v>1.0025350593081301</v>
      </c>
      <c r="H43" s="41">
        <f>AVERAGE(H31:H34)</f>
        <v>1.0008379114035149</v>
      </c>
      <c r="I43" s="41">
        <f>AVERAGE(I31:I33)</f>
        <v>1.0002695939441117</v>
      </c>
      <c r="J43" s="41">
        <f>AVERAGE(J31:J32)</f>
        <v>1.0000790908975867</v>
      </c>
      <c r="M43" s="2"/>
    </row>
    <row r="44" spans="1:13" x14ac:dyDescent="0.2">
      <c r="A44" t="s">
        <v>265</v>
      </c>
      <c r="C44" s="123">
        <v>1.1616570913682061</v>
      </c>
      <c r="D44" s="123">
        <v>1.0550188385989698</v>
      </c>
      <c r="E44" s="123">
        <v>1.0259817795175952</v>
      </c>
      <c r="F44" s="123">
        <v>1.0191928373679597</v>
      </c>
      <c r="G44" s="123">
        <v>1.0055562793511126</v>
      </c>
      <c r="H44" s="123">
        <v>1.0003436677282607</v>
      </c>
      <c r="I44" s="123">
        <v>1.000562096968562</v>
      </c>
      <c r="J44" s="123">
        <v>1.0002170231123042</v>
      </c>
      <c r="K44" s="123">
        <v>1</v>
      </c>
      <c r="L44" s="123"/>
      <c r="M44" s="2"/>
    </row>
    <row r="45" spans="1:13" x14ac:dyDescent="0.2">
      <c r="A45" t="s">
        <v>73</v>
      </c>
      <c r="C45" s="42">
        <f>AVERAGE(C42,C44)</f>
        <v>1.1632333284734895</v>
      </c>
      <c r="D45" s="42">
        <f t="shared" ref="D45:K45" si="17">AVERAGE(D42,D44)</f>
        <v>1.0534863589651469</v>
      </c>
      <c r="E45" s="42">
        <f t="shared" si="17"/>
        <v>1.0207652633440825</v>
      </c>
      <c r="F45" s="42">
        <f t="shared" si="17"/>
        <v>1.0124877820839187</v>
      </c>
      <c r="G45" s="42">
        <f t="shared" si="17"/>
        <v>1.0040456693296214</v>
      </c>
      <c r="H45" s="42">
        <f t="shared" si="17"/>
        <v>1.0005907895658877</v>
      </c>
      <c r="I45" s="42">
        <f t="shared" si="17"/>
        <v>1.0004158454563368</v>
      </c>
      <c r="J45" s="42">
        <f t="shared" si="17"/>
        <v>1.0001480570049455</v>
      </c>
      <c r="K45" s="42">
        <f t="shared" si="17"/>
        <v>1</v>
      </c>
      <c r="L45" s="42"/>
      <c r="M45" s="2"/>
    </row>
    <row r="46" spans="1:13" x14ac:dyDescent="0.2">
      <c r="A46" t="s">
        <v>338</v>
      </c>
      <c r="C46" s="36">
        <f t="shared" ref="C46:J46" si="18">ROUND(C45*D46,3)</f>
        <v>1.274</v>
      </c>
      <c r="D46" s="36">
        <f t="shared" si="18"/>
        <v>1.095</v>
      </c>
      <c r="E46" s="36">
        <f t="shared" si="18"/>
        <v>1.0389999999999999</v>
      </c>
      <c r="F46" s="36">
        <f t="shared" si="18"/>
        <v>1.018</v>
      </c>
      <c r="G46" s="36">
        <f t="shared" si="18"/>
        <v>1.0049999999999999</v>
      </c>
      <c r="H46" s="36">
        <f t="shared" si="18"/>
        <v>1.0009999999999999</v>
      </c>
      <c r="I46" s="36">
        <f t="shared" si="18"/>
        <v>1</v>
      </c>
      <c r="J46" s="36">
        <f t="shared" si="18"/>
        <v>1</v>
      </c>
      <c r="K46" s="36">
        <v>1</v>
      </c>
      <c r="M46" s="2"/>
    </row>
    <row r="47" spans="1:13" ht="12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13" ht="12" thickTop="1" x14ac:dyDescent="0.2">
      <c r="A48" t="s">
        <v>17</v>
      </c>
      <c r="M48" s="2"/>
    </row>
    <row r="49" spans="1:13" x14ac:dyDescent="0.2">
      <c r="B49" s="22" t="str">
        <f>"Provided by TICO.  Accident years ending "&amp;TEXT($N$23,"m/d/xx")</f>
        <v>Provided by TICO.  Accident years ending 9/30/xx</v>
      </c>
      <c r="M49" s="2"/>
    </row>
    <row r="50" spans="1:13" ht="12" thickBot="1" x14ac:dyDescent="0.25">
      <c r="M50" s="2"/>
    </row>
    <row r="51" spans="1:13" ht="12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honeticPr fontId="0" type="noConversion"/>
  <pageMargins left="0.5" right="0.5" top="0.5" bottom="0.5" header="0.5" footer="0.5"/>
  <pageSetup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O51"/>
  <sheetViews>
    <sheetView showGridLines="0" workbookViewId="0">
      <selection activeCell="H54" sqref="H54"/>
    </sheetView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4" x14ac:dyDescent="0.2">
      <c r="A1" s="8" t="str">
        <f>'1'!$A$1</f>
        <v>Texas Windstorm Insurance Association</v>
      </c>
      <c r="B1" s="12"/>
      <c r="L1" s="7" t="s">
        <v>67</v>
      </c>
      <c r="M1" s="1"/>
    </row>
    <row r="2" spans="1:14" x14ac:dyDescent="0.2">
      <c r="A2" s="8" t="str">
        <f>'1'!$A$2</f>
        <v>Residential Property - Wind &amp; Hail</v>
      </c>
      <c r="B2" s="12"/>
      <c r="L2" s="7" t="s">
        <v>21</v>
      </c>
      <c r="M2" s="2"/>
    </row>
    <row r="3" spans="1:14" x14ac:dyDescent="0.2">
      <c r="A3" s="8" t="str">
        <f>'1'!$A$3</f>
        <v>Rate Level Review</v>
      </c>
      <c r="B3" s="12"/>
      <c r="M3" s="2"/>
    </row>
    <row r="4" spans="1:14" x14ac:dyDescent="0.2">
      <c r="A4" t="s">
        <v>89</v>
      </c>
      <c r="B4" s="12"/>
      <c r="M4" s="2"/>
    </row>
    <row r="5" spans="1:14" x14ac:dyDescent="0.2">
      <c r="A5" t="s">
        <v>367</v>
      </c>
      <c r="B5" s="12"/>
      <c r="M5" s="2"/>
    </row>
    <row r="6" spans="1:14" x14ac:dyDescent="0.2"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M8" s="2"/>
    </row>
    <row r="9" spans="1:14" x14ac:dyDescent="0.2">
      <c r="C9" s="24" t="s">
        <v>68</v>
      </c>
      <c r="M9" s="2"/>
      <c r="N9" s="27"/>
    </row>
    <row r="10" spans="1:14" x14ac:dyDescent="0.2">
      <c r="A10" t="s">
        <v>53</v>
      </c>
      <c r="M10" s="2"/>
      <c r="N10" t="s">
        <v>69</v>
      </c>
    </row>
    <row r="11" spans="1:14" x14ac:dyDescent="0.2">
      <c r="A11" s="9" t="s">
        <v>54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90">
        <f>(YEAR($O$23)-YEAR($N$23)+1)*12+MONTH($O$23)-MONTH($N$23)</f>
        <v>15</v>
      </c>
    </row>
    <row r="12" spans="1:14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4" x14ac:dyDescent="0.2">
      <c r="M13" s="2"/>
    </row>
    <row r="14" spans="1:14" x14ac:dyDescent="0.2">
      <c r="A14" t="str">
        <f t="shared" ref="A14:A22" si="2">TEXT(A15-1,"#")</f>
        <v>2010</v>
      </c>
      <c r="B14" s="25"/>
      <c r="C14" s="186">
        <f>ROUND('[3]EC LDF'!B$39/1000,0)</f>
        <v>66045</v>
      </c>
      <c r="D14" s="186">
        <f>ROUND('[3]EC LDF'!C$39/1000,0)</f>
        <v>71578</v>
      </c>
      <c r="E14" s="186">
        <f>ROUND('[3]EC LDF'!D$39/1000,0)</f>
        <v>72984</v>
      </c>
      <c r="F14" s="186">
        <f>ROUND('[3]EC LDF'!E$39/1000,0)</f>
        <v>73568</v>
      </c>
      <c r="G14" s="186">
        <f>ROUND('[3]EC LDF'!F$39/1000,0)</f>
        <v>73599</v>
      </c>
      <c r="H14" s="186">
        <f>ROUND('[3]EC LDF'!G$39/1000,0)</f>
        <v>73573</v>
      </c>
      <c r="I14" s="186">
        <f>ROUND('[3]EC LDF'!H$39/1000,0)</f>
        <v>73530</v>
      </c>
      <c r="J14" s="186">
        <f>ROUND('[3]EC LDF'!I$39/1000,0)</f>
        <v>73536</v>
      </c>
      <c r="K14" s="186">
        <f>ROUND('[3]EC LDF'!J$39/1000,0)</f>
        <v>73536</v>
      </c>
      <c r="L14" s="92"/>
      <c r="M14" s="2"/>
    </row>
    <row r="15" spans="1:14" x14ac:dyDescent="0.2">
      <c r="A15" t="str">
        <f t="shared" si="2"/>
        <v>2011</v>
      </c>
      <c r="B15" s="25"/>
      <c r="C15" s="186">
        <f>ROUND('[3]EC LDF'!B$43/1000,0)</f>
        <v>143685</v>
      </c>
      <c r="D15" s="186">
        <f>ROUND('[3]EC LDF'!C$43/1000,0)</f>
        <v>155082</v>
      </c>
      <c r="E15" s="186">
        <f>ROUND('[3]EC LDF'!D$43/1000,0)</f>
        <v>157261</v>
      </c>
      <c r="F15" s="186">
        <f>ROUND('[3]EC LDF'!E$43/1000,0)</f>
        <v>157739</v>
      </c>
      <c r="G15" s="186">
        <f>ROUND('[3]EC LDF'!F$43/1000,0)</f>
        <v>158014</v>
      </c>
      <c r="H15" s="186">
        <f>ROUND('[3]EC LDF'!G$43/1000,0)</f>
        <v>157995</v>
      </c>
      <c r="I15" s="186">
        <f>ROUND('[3]EC LDF'!H$43/1000,0)</f>
        <v>158050</v>
      </c>
      <c r="J15" s="186">
        <f>ROUND('[3]EC LDF'!I$43/1000,0)</f>
        <v>158046</v>
      </c>
      <c r="K15" s="186">
        <f>ROUND('[3]EC LDF'!J$43/1000,0)</f>
        <v>158071</v>
      </c>
      <c r="L15" s="92"/>
      <c r="M15" s="2"/>
    </row>
    <row r="16" spans="1:14" x14ac:dyDescent="0.2">
      <c r="A16" t="str">
        <f t="shared" si="2"/>
        <v>2012</v>
      </c>
      <c r="B16" s="25"/>
      <c r="C16" s="186">
        <f>ROUND('[3]EC LDF'!B$47/1000,0)</f>
        <v>170023</v>
      </c>
      <c r="D16" s="186">
        <f>ROUND('[3]EC LDF'!C$47/1000,0)</f>
        <v>203480</v>
      </c>
      <c r="E16" s="186">
        <f>ROUND('[3]EC LDF'!D$47/1000,0)</f>
        <v>240439</v>
      </c>
      <c r="F16" s="186">
        <f>ROUND('[3]EC LDF'!E$47/1000,0)</f>
        <v>246180</v>
      </c>
      <c r="G16" s="186">
        <f>ROUND('[3]EC LDF'!F$47/1000,0)</f>
        <v>247027</v>
      </c>
      <c r="H16" s="186">
        <f>ROUND('[3]EC LDF'!G$47/1000,0)</f>
        <v>247422</v>
      </c>
      <c r="I16" s="186">
        <f>ROUND('[3]EC LDF'!H$47/1000,0)</f>
        <v>247520</v>
      </c>
      <c r="J16" s="186">
        <f>ROUND('[3]EC LDF'!I$47/1000,0)</f>
        <v>247580</v>
      </c>
      <c r="K16" s="186"/>
      <c r="L16" s="92"/>
      <c r="M16" s="2"/>
    </row>
    <row r="17" spans="1:15" x14ac:dyDescent="0.2">
      <c r="A17" t="str">
        <f>TEXT(A18-1,"#")</f>
        <v>2013</v>
      </c>
      <c r="B17" s="25"/>
      <c r="C17" s="186">
        <f>ROUND('[3]EC LDF'!B$51/1000,0)</f>
        <v>127453</v>
      </c>
      <c r="D17" s="186">
        <f>ROUND('[3]EC LDF'!C$51/1000,0)</f>
        <v>147009</v>
      </c>
      <c r="E17" s="186">
        <f>ROUND('[3]EC LDF'!D$51/1000,0)</f>
        <v>154930</v>
      </c>
      <c r="F17" s="186">
        <f>ROUND('[3]EC LDF'!E$51/1000,0)</f>
        <v>155922</v>
      </c>
      <c r="G17" s="186">
        <f>ROUND('[3]EC LDF'!F$51/1000,0)</f>
        <v>156569</v>
      </c>
      <c r="H17" s="186">
        <f>ROUND('[3]EC LDF'!G$51/1000,0)</f>
        <v>156577</v>
      </c>
      <c r="I17" s="186">
        <f>ROUND('[3]EC LDF'!H$51/1000,0)</f>
        <v>156580</v>
      </c>
      <c r="J17" s="186"/>
      <c r="K17" s="186"/>
      <c r="L17" s="92"/>
      <c r="M17" s="2"/>
    </row>
    <row r="18" spans="1:15" x14ac:dyDescent="0.2">
      <c r="A18" t="str">
        <f t="shared" si="2"/>
        <v>2014</v>
      </c>
      <c r="B18" s="25"/>
      <c r="C18" s="186">
        <f>ROUND('[3]EC LDF'!B$55/1000,0)</f>
        <v>157426</v>
      </c>
      <c r="D18" s="186">
        <f>ROUND('[3]EC LDF'!C$55/1000,0)</f>
        <v>183366</v>
      </c>
      <c r="E18" s="186">
        <f>ROUND('[3]EC LDF'!D$55/1000,0)</f>
        <v>190278</v>
      </c>
      <c r="F18" s="186">
        <f>ROUND('[3]EC LDF'!E$55/1000,0)</f>
        <v>191866</v>
      </c>
      <c r="G18" s="186">
        <f>ROUND('[3]EC LDF'!F$55/1000,0)</f>
        <v>192056</v>
      </c>
      <c r="H18" s="186">
        <f>ROUND('[3]EC LDF'!G$55/1000,0)</f>
        <v>192336</v>
      </c>
      <c r="I18" s="186"/>
      <c r="J18" s="186"/>
      <c r="K18" s="186"/>
      <c r="L18" s="92"/>
      <c r="M18" s="2"/>
    </row>
    <row r="19" spans="1:15" x14ac:dyDescent="0.2">
      <c r="A19" t="str">
        <f t="shared" si="2"/>
        <v>2015</v>
      </c>
      <c r="B19" s="25"/>
      <c r="C19" s="186">
        <f>ROUND('[3]EC LDF'!B$59/1000,0)</f>
        <v>183266</v>
      </c>
      <c r="D19" s="186">
        <f>ROUND('[3]EC LDF'!C$59/1000,0)</f>
        <v>204239</v>
      </c>
      <c r="E19" s="186">
        <f>ROUND('[3]EC LDF'!D$59/1000,0)</f>
        <v>208541</v>
      </c>
      <c r="F19" s="186">
        <f>ROUND('[3]EC LDF'!E$59/1000,0)</f>
        <v>209008</v>
      </c>
      <c r="G19" s="186">
        <f>ROUND('[3]EC LDF'!F$59/1000,0)</f>
        <v>209163</v>
      </c>
      <c r="H19" s="186"/>
      <c r="I19" s="186"/>
      <c r="J19" s="186"/>
      <c r="K19" s="186"/>
      <c r="L19" s="92"/>
      <c r="M19" s="2"/>
    </row>
    <row r="20" spans="1:15" x14ac:dyDescent="0.2">
      <c r="A20" t="str">
        <f t="shared" si="2"/>
        <v>2016</v>
      </c>
      <c r="B20" s="25"/>
      <c r="C20" s="186">
        <f>ROUND('[3]EC LDF'!B$63/1000,0)</f>
        <v>498092</v>
      </c>
      <c r="D20" s="186">
        <f>ROUND('[3]EC LDF'!C$63/1000,0)</f>
        <v>556120</v>
      </c>
      <c r="E20" s="186">
        <f>ROUND('[3]EC LDF'!D$63/1000,0)</f>
        <v>562298</v>
      </c>
      <c r="F20" s="186">
        <f>ROUND('[3]EC LDF'!E$63/1000,0)</f>
        <v>563958</v>
      </c>
      <c r="G20" s="186"/>
      <c r="H20" s="186"/>
      <c r="I20" s="186"/>
      <c r="J20" s="186"/>
      <c r="K20" s="186"/>
      <c r="L20" s="92"/>
      <c r="M20" s="2"/>
    </row>
    <row r="21" spans="1:15" x14ac:dyDescent="0.2">
      <c r="A21" t="str">
        <f t="shared" si="2"/>
        <v>2017</v>
      </c>
      <c r="B21" s="25"/>
      <c r="C21" s="186">
        <f>ROUND('[3]EC LDF'!B$67/1000,0)</f>
        <v>665247</v>
      </c>
      <c r="D21" s="186">
        <f>ROUND('[3]EC LDF'!C$67/1000,0)</f>
        <v>791814</v>
      </c>
      <c r="E21" s="186">
        <f>ROUND('[3]EC LDF'!D$67/1000,0)</f>
        <v>816622</v>
      </c>
      <c r="F21" s="186"/>
      <c r="G21" s="186"/>
      <c r="H21" s="186"/>
      <c r="I21" s="186"/>
      <c r="J21" s="186"/>
      <c r="K21" s="186"/>
      <c r="L21" s="92"/>
      <c r="M21" s="2"/>
    </row>
    <row r="22" spans="1:15" x14ac:dyDescent="0.2">
      <c r="A22" t="str">
        <f t="shared" si="2"/>
        <v>2018</v>
      </c>
      <c r="B22" s="25"/>
      <c r="C22" s="186">
        <f>ROUND('[3]EC LDF'!B$71/1000,0)</f>
        <v>186500</v>
      </c>
      <c r="D22" s="186">
        <f>ROUND('[3]EC LDF'!C$71/1000,0)</f>
        <v>217813</v>
      </c>
      <c r="E22" s="186"/>
      <c r="F22" s="186"/>
      <c r="G22" s="186"/>
      <c r="H22" s="186"/>
      <c r="I22" s="186"/>
      <c r="J22" s="186"/>
      <c r="K22" s="186"/>
      <c r="L22" s="92"/>
      <c r="M22" s="2"/>
      <c r="N22" t="s">
        <v>217</v>
      </c>
      <c r="O22" t="s">
        <v>218</v>
      </c>
    </row>
    <row r="23" spans="1:15" x14ac:dyDescent="0.2">
      <c r="A23" t="str">
        <f>TEXT(YEAR($N$23),"#")</f>
        <v>2019</v>
      </c>
      <c r="B23" s="25"/>
      <c r="C23" s="186">
        <f>ROUND('[3]EC LDF'!$B$75/1000,0)</f>
        <v>279622</v>
      </c>
      <c r="D23" s="186"/>
      <c r="E23" s="186"/>
      <c r="F23" s="186"/>
      <c r="G23" s="186"/>
      <c r="H23" s="186"/>
      <c r="I23" s="186"/>
      <c r="J23" s="186"/>
      <c r="K23" s="186"/>
      <c r="L23" s="92"/>
      <c r="M23" s="2"/>
      <c r="N23" s="84">
        <f>'[3]EC LDF'!$B$1</f>
        <v>43738</v>
      </c>
      <c r="O23" s="84">
        <f>'[3]EC LDF'!$B$2</f>
        <v>43830</v>
      </c>
    </row>
    <row r="24" spans="1:15" x14ac:dyDescent="0.2">
      <c r="A24" s="9"/>
      <c r="B24" s="26"/>
      <c r="C24" s="93"/>
      <c r="D24" s="93"/>
      <c r="E24" s="93"/>
      <c r="F24" s="93"/>
      <c r="G24" s="93"/>
      <c r="H24" s="93"/>
      <c r="I24" s="93"/>
      <c r="J24" s="93"/>
      <c r="K24" s="93"/>
      <c r="L24" s="92"/>
      <c r="M24" s="2"/>
    </row>
    <row r="25" spans="1:15" x14ac:dyDescent="0.2">
      <c r="M25" s="2"/>
    </row>
    <row r="26" spans="1:15" x14ac:dyDescent="0.2">
      <c r="C26" s="24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2010</v>
      </c>
      <c r="B31" s="25"/>
      <c r="C31" s="39">
        <f>IF(ISNUMBER(D14),D14/C14,"")</f>
        <v>1.0837762131879778</v>
      </c>
      <c r="D31" s="39">
        <f t="shared" ref="D31:J31" si="6">IF(ISNUMBER(E14),E14/D14,"")</f>
        <v>1.0196429070384756</v>
      </c>
      <c r="E31" s="39">
        <f t="shared" si="6"/>
        <v>1.008001753809054</v>
      </c>
      <c r="F31" s="39">
        <f t="shared" si="6"/>
        <v>1.000421378860374</v>
      </c>
      <c r="G31" s="39">
        <f t="shared" si="6"/>
        <v>0.99964673433062945</v>
      </c>
      <c r="H31" s="39">
        <f t="shared" si="6"/>
        <v>0.99941554646405606</v>
      </c>
      <c r="I31" s="39">
        <f t="shared" si="6"/>
        <v>1.0000815993472052</v>
      </c>
      <c r="J31" s="39">
        <f t="shared" si="6"/>
        <v>1</v>
      </c>
      <c r="K31" s="39">
        <v>1</v>
      </c>
      <c r="L31" s="39"/>
      <c r="M31" s="2"/>
    </row>
    <row r="32" spans="1:15" x14ac:dyDescent="0.2">
      <c r="A32" t="str">
        <f t="shared" si="5"/>
        <v>2011</v>
      </c>
      <c r="B32" s="25"/>
      <c r="C32" s="39">
        <f t="shared" ref="C32:J39" si="7">IF(ISNUMBER(D15),D15/C15,"")</f>
        <v>1.0793193443992066</v>
      </c>
      <c r="D32" s="39">
        <f t="shared" si="7"/>
        <v>1.0140506312789364</v>
      </c>
      <c r="E32" s="39">
        <f t="shared" si="7"/>
        <v>1.0030395330056403</v>
      </c>
      <c r="F32" s="39">
        <f t="shared" si="7"/>
        <v>1.0017433862266147</v>
      </c>
      <c r="G32" s="39">
        <f t="shared" si="7"/>
        <v>0.9998797574898427</v>
      </c>
      <c r="H32" s="39">
        <f t="shared" si="7"/>
        <v>1.0003481122820344</v>
      </c>
      <c r="I32" s="39">
        <f t="shared" si="7"/>
        <v>0.99997469155330587</v>
      </c>
      <c r="J32" s="39">
        <f t="shared" si="7"/>
        <v>1.0001581817951735</v>
      </c>
      <c r="K32" s="39" t="str">
        <f t="shared" ref="K32:K39" si="8">IF(ISNUMBER(M15),M15/K15,"")</f>
        <v/>
      </c>
      <c r="L32" s="39"/>
      <c r="M32" s="2"/>
    </row>
    <row r="33" spans="1:13" x14ac:dyDescent="0.2">
      <c r="A33" t="str">
        <f t="shared" si="5"/>
        <v>2012</v>
      </c>
      <c r="B33" s="25"/>
      <c r="C33" s="39">
        <f t="shared" si="7"/>
        <v>1.1967792592766862</v>
      </c>
      <c r="D33" s="39">
        <f t="shared" si="7"/>
        <v>1.1816345586789856</v>
      </c>
      <c r="E33" s="39">
        <f t="shared" si="7"/>
        <v>1.0238771580317669</v>
      </c>
      <c r="F33" s="39">
        <f t="shared" si="7"/>
        <v>1.0034405719392314</v>
      </c>
      <c r="G33" s="39">
        <f t="shared" si="7"/>
        <v>1.0015990154922336</v>
      </c>
      <c r="H33" s="39">
        <f t="shared" si="7"/>
        <v>1.0003960844225654</v>
      </c>
      <c r="I33" s="39">
        <f t="shared" si="7"/>
        <v>1.0002424046541694</v>
      </c>
      <c r="J33" s="39" t="str">
        <f t="shared" si="7"/>
        <v/>
      </c>
      <c r="K33" s="39" t="str">
        <f t="shared" si="8"/>
        <v/>
      </c>
      <c r="L33" s="39"/>
      <c r="M33" s="2"/>
    </row>
    <row r="34" spans="1:13" x14ac:dyDescent="0.2">
      <c r="A34" t="str">
        <f t="shared" si="5"/>
        <v>2013</v>
      </c>
      <c r="B34" s="25"/>
      <c r="C34" s="39">
        <f t="shared" si="7"/>
        <v>1.1534369532298181</v>
      </c>
      <c r="D34" s="39">
        <f t="shared" si="7"/>
        <v>1.0538810549014006</v>
      </c>
      <c r="E34" s="39">
        <f t="shared" si="7"/>
        <v>1.0064028916284773</v>
      </c>
      <c r="F34" s="39">
        <f t="shared" si="7"/>
        <v>1.0041495106527623</v>
      </c>
      <c r="G34" s="39">
        <f t="shared" si="7"/>
        <v>1.0000510956830535</v>
      </c>
      <c r="H34" s="39">
        <f t="shared" si="7"/>
        <v>1.0000191599021568</v>
      </c>
      <c r="I34" s="39" t="str">
        <f t="shared" si="7"/>
        <v/>
      </c>
      <c r="J34" s="39" t="str">
        <f t="shared" si="7"/>
        <v/>
      </c>
      <c r="K34" s="39" t="str">
        <f t="shared" si="8"/>
        <v/>
      </c>
      <c r="L34" s="39"/>
      <c r="M34" s="2"/>
    </row>
    <row r="35" spans="1:13" x14ac:dyDescent="0.2">
      <c r="A35" t="str">
        <f t="shared" si="5"/>
        <v>2014</v>
      </c>
      <c r="B35" s="25"/>
      <c r="C35" s="39">
        <f t="shared" si="7"/>
        <v>1.1647758311841754</v>
      </c>
      <c r="D35" s="39">
        <f t="shared" si="7"/>
        <v>1.0376951016000786</v>
      </c>
      <c r="E35" s="39">
        <f t="shared" si="7"/>
        <v>1.0083456836838731</v>
      </c>
      <c r="F35" s="39">
        <f t="shared" si="7"/>
        <v>1.0009902744623853</v>
      </c>
      <c r="G35" s="39">
        <f t="shared" si="7"/>
        <v>1.0014579081101345</v>
      </c>
      <c r="H35" s="39" t="str">
        <f t="shared" si="7"/>
        <v/>
      </c>
      <c r="I35" s="39" t="str">
        <f t="shared" si="7"/>
        <v/>
      </c>
      <c r="J35" s="39" t="str">
        <f t="shared" si="7"/>
        <v/>
      </c>
      <c r="K35" s="39" t="str">
        <f t="shared" si="8"/>
        <v/>
      </c>
      <c r="L35" s="39"/>
      <c r="M35" s="2"/>
    </row>
    <row r="36" spans="1:13" x14ac:dyDescent="0.2">
      <c r="A36" t="str">
        <f t="shared" si="5"/>
        <v>2015</v>
      </c>
      <c r="B36" s="25"/>
      <c r="C36" s="39">
        <f t="shared" si="7"/>
        <v>1.1144402125871684</v>
      </c>
      <c r="D36" s="39">
        <f t="shared" si="7"/>
        <v>1.0210635578905107</v>
      </c>
      <c r="E36" s="39">
        <f t="shared" si="7"/>
        <v>1.0022393677981787</v>
      </c>
      <c r="F36" s="39">
        <f t="shared" si="7"/>
        <v>1.0007415984077164</v>
      </c>
      <c r="G36" s="39" t="str">
        <f t="shared" si="7"/>
        <v/>
      </c>
      <c r="H36" s="39" t="str">
        <f t="shared" si="7"/>
        <v/>
      </c>
      <c r="I36" s="39" t="str">
        <f t="shared" si="7"/>
        <v/>
      </c>
      <c r="J36" s="39" t="str">
        <f t="shared" si="7"/>
        <v/>
      </c>
      <c r="K36" s="39" t="str">
        <f t="shared" si="8"/>
        <v/>
      </c>
      <c r="L36" s="39"/>
      <c r="M36" s="2"/>
    </row>
    <row r="37" spans="1:13" x14ac:dyDescent="0.2">
      <c r="A37" t="str">
        <f t="shared" si="5"/>
        <v>2016</v>
      </c>
      <c r="B37" s="25"/>
      <c r="C37" s="39">
        <f t="shared" si="7"/>
        <v>1.1165005661604683</v>
      </c>
      <c r="D37" s="39">
        <f t="shared" si="7"/>
        <v>1.0111091131410488</v>
      </c>
      <c r="E37" s="39">
        <f t="shared" si="7"/>
        <v>1.0029521712686156</v>
      </c>
      <c r="F37" s="39" t="str">
        <f t="shared" si="7"/>
        <v/>
      </c>
      <c r="G37" s="39" t="str">
        <f t="shared" si="7"/>
        <v/>
      </c>
      <c r="H37" s="39" t="str">
        <f t="shared" si="7"/>
        <v/>
      </c>
      <c r="I37" s="39" t="str">
        <f t="shared" si="7"/>
        <v/>
      </c>
      <c r="J37" s="39" t="str">
        <f t="shared" si="7"/>
        <v/>
      </c>
      <c r="K37" s="39" t="str">
        <f t="shared" si="8"/>
        <v/>
      </c>
      <c r="L37" s="39"/>
      <c r="M37" s="2"/>
    </row>
    <row r="38" spans="1:13" x14ac:dyDescent="0.2">
      <c r="A38" t="str">
        <f t="shared" si="5"/>
        <v>2017</v>
      </c>
      <c r="B38" s="25"/>
      <c r="C38" s="39">
        <f t="shared" si="7"/>
        <v>1.1902556494054088</v>
      </c>
      <c r="D38" s="39">
        <f t="shared" si="7"/>
        <v>1.0313305902648855</v>
      </c>
      <c r="E38" s="39" t="str">
        <f t="shared" si="7"/>
        <v/>
      </c>
      <c r="F38" s="39" t="str">
        <f t="shared" si="7"/>
        <v/>
      </c>
      <c r="G38" s="39" t="str">
        <f t="shared" si="7"/>
        <v/>
      </c>
      <c r="H38" s="39" t="str">
        <f t="shared" si="7"/>
        <v/>
      </c>
      <c r="I38" s="39" t="str">
        <f t="shared" si="7"/>
        <v/>
      </c>
      <c r="J38" s="39" t="str">
        <f t="shared" si="7"/>
        <v/>
      </c>
      <c r="K38" s="39" t="str">
        <f t="shared" si="8"/>
        <v/>
      </c>
      <c r="L38" s="39"/>
      <c r="M38" s="2"/>
    </row>
    <row r="39" spans="1:13" x14ac:dyDescent="0.2">
      <c r="A39" t="str">
        <f t="shared" si="5"/>
        <v>2018</v>
      </c>
      <c r="B39" s="25"/>
      <c r="C39" s="39">
        <f>IF(ISNUMBER(D22),D22/C22,"")</f>
        <v>1.1678981233243968</v>
      </c>
      <c r="D39" s="39" t="str">
        <f t="shared" si="7"/>
        <v/>
      </c>
      <c r="E39" s="39" t="str">
        <f t="shared" si="7"/>
        <v/>
      </c>
      <c r="F39" s="39" t="str">
        <f t="shared" si="7"/>
        <v/>
      </c>
      <c r="G39" s="39" t="str">
        <f t="shared" si="7"/>
        <v/>
      </c>
      <c r="H39" s="39" t="str">
        <f t="shared" si="7"/>
        <v/>
      </c>
      <c r="I39" s="39" t="str">
        <f t="shared" si="7"/>
        <v/>
      </c>
      <c r="J39" s="39" t="str">
        <f t="shared" si="7"/>
        <v/>
      </c>
      <c r="K39" s="39" t="str">
        <f t="shared" si="8"/>
        <v/>
      </c>
      <c r="L39" s="39"/>
      <c r="M39" s="2"/>
    </row>
    <row r="40" spans="1:13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</row>
    <row r="41" spans="1:13" x14ac:dyDescent="0.2">
      <c r="C41" s="19"/>
      <c r="M41" s="2"/>
    </row>
    <row r="42" spans="1:13" x14ac:dyDescent="0.2">
      <c r="A42" t="s">
        <v>71</v>
      </c>
      <c r="B42" s="25"/>
      <c r="C42" s="41">
        <f>AVERAGE(C31:C39)</f>
        <v>1.1407980169728118</v>
      </c>
      <c r="D42" s="41">
        <f t="shared" ref="D42:J42" si="9">AVERAGE(D31:D39)</f>
        <v>1.0463009393492904</v>
      </c>
      <c r="E42" s="41">
        <f t="shared" si="9"/>
        <v>1.0078369370322295</v>
      </c>
      <c r="F42" s="41">
        <f t="shared" si="9"/>
        <v>1.0019144534248472</v>
      </c>
      <c r="G42" s="41">
        <f t="shared" si="9"/>
        <v>1.0005269022211789</v>
      </c>
      <c r="H42" s="41">
        <f t="shared" si="9"/>
        <v>1.0000447257677032</v>
      </c>
      <c r="I42" s="41">
        <f t="shared" si="9"/>
        <v>1.0000995651848934</v>
      </c>
      <c r="J42" s="41">
        <f t="shared" si="9"/>
        <v>1.0000790908975867</v>
      </c>
      <c r="K42" s="43">
        <v>1</v>
      </c>
      <c r="M42" s="2"/>
    </row>
    <row r="43" spans="1:13" x14ac:dyDescent="0.2">
      <c r="A43" t="s">
        <v>72</v>
      </c>
      <c r="B43" s="25"/>
      <c r="C43" s="41">
        <f>AVERAGE(C35:C39)</f>
        <v>1.1507740765323236</v>
      </c>
      <c r="D43" s="41">
        <f>AVERAGE(D34:D38)</f>
        <v>1.0310158835595848</v>
      </c>
      <c r="E43" s="41">
        <f>AVERAGE(E33:E37)</f>
        <v>1.0087634544821824</v>
      </c>
      <c r="F43" s="41">
        <f>AVERAGE(F32:F36)</f>
        <v>1.0022130683377419</v>
      </c>
      <c r="G43" s="41">
        <f>AVERAGE(G31:G35)</f>
        <v>1.0005269022211789</v>
      </c>
      <c r="H43" s="41">
        <f>AVERAGE(H31:H34)</f>
        <v>1.0000447257677032</v>
      </c>
      <c r="I43" s="41">
        <f>AVERAGE(I31:I33)</f>
        <v>1.0000995651848934</v>
      </c>
      <c r="J43" s="41">
        <f>AVERAGE(J31:J32)</f>
        <v>1.0000790908975867</v>
      </c>
      <c r="M43" s="2"/>
    </row>
    <row r="44" spans="1:13" x14ac:dyDescent="0.2">
      <c r="A44" t="s">
        <v>265</v>
      </c>
      <c r="C44" s="123">
        <v>1.1628113099886748</v>
      </c>
      <c r="D44" s="123">
        <v>1.0524650015177699</v>
      </c>
      <c r="E44" s="123">
        <v>1.0211798228067066</v>
      </c>
      <c r="F44" s="123">
        <v>1.0123806323931461</v>
      </c>
      <c r="G44" s="123">
        <v>1.0038677253328556</v>
      </c>
      <c r="H44" s="123">
        <v>1.0005835774554885</v>
      </c>
      <c r="I44" s="123">
        <v>1.0003224097825649</v>
      </c>
      <c r="J44" s="123">
        <v>1.0001244605194695</v>
      </c>
      <c r="K44" s="123">
        <v>1</v>
      </c>
      <c r="L44" s="123"/>
      <c r="M44" s="2"/>
    </row>
    <row r="45" spans="1:13" x14ac:dyDescent="0.2">
      <c r="A45" t="s">
        <v>73</v>
      </c>
      <c r="C45" s="42">
        <f>AVERAGE(C42,C44)</f>
        <v>1.1518046634807433</v>
      </c>
      <c r="D45" s="42">
        <f t="shared" ref="D45:J45" si="10">AVERAGE(D42,D44)</f>
        <v>1.04938297043353</v>
      </c>
      <c r="E45" s="42">
        <f t="shared" si="10"/>
        <v>1.0145083799194681</v>
      </c>
      <c r="F45" s="42">
        <f t="shared" si="10"/>
        <v>1.0071475429089967</v>
      </c>
      <c r="G45" s="42">
        <f t="shared" si="10"/>
        <v>1.0021973137770173</v>
      </c>
      <c r="H45" s="42">
        <f t="shared" si="10"/>
        <v>1.0003141516115959</v>
      </c>
      <c r="I45" s="42">
        <f t="shared" si="10"/>
        <v>1.0002109874837291</v>
      </c>
      <c r="J45" s="42">
        <f t="shared" si="10"/>
        <v>1.000101775708528</v>
      </c>
      <c r="K45" s="42">
        <f>AVERAGE(K42,K44)</f>
        <v>1</v>
      </c>
      <c r="L45" s="42"/>
      <c r="M45" s="2"/>
    </row>
    <row r="46" spans="1:13" x14ac:dyDescent="0.2">
      <c r="A46" t="s">
        <v>338</v>
      </c>
      <c r="C46" s="36">
        <f t="shared" ref="C46:J46" si="11">ROUND(C45*D46,3)</f>
        <v>1.238</v>
      </c>
      <c r="D46" s="36">
        <f t="shared" si="11"/>
        <v>1.075</v>
      </c>
      <c r="E46" s="36">
        <f t="shared" si="11"/>
        <v>1.024</v>
      </c>
      <c r="F46" s="36">
        <f t="shared" si="11"/>
        <v>1.0089999999999999</v>
      </c>
      <c r="G46" s="36">
        <f t="shared" si="11"/>
        <v>1.002</v>
      </c>
      <c r="H46" s="36">
        <f t="shared" si="11"/>
        <v>1</v>
      </c>
      <c r="I46" s="36">
        <f t="shared" si="11"/>
        <v>1</v>
      </c>
      <c r="J46" s="36">
        <f t="shared" si="11"/>
        <v>1</v>
      </c>
      <c r="K46" s="36">
        <v>1</v>
      </c>
      <c r="M46" s="2"/>
    </row>
    <row r="47" spans="1:13" ht="12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13" ht="12" thickTop="1" x14ac:dyDescent="0.2">
      <c r="A48" t="s">
        <v>17</v>
      </c>
      <c r="M48" s="2"/>
    </row>
    <row r="49" spans="1:13" x14ac:dyDescent="0.2">
      <c r="B49" s="22" t="str">
        <f>"Provided by TICO.  Accident years ending "&amp;TEXT($N$23,"m/d/xx")</f>
        <v>Provided by TICO.  Accident years ending 9/30/xx</v>
      </c>
      <c r="M49" s="2"/>
    </row>
    <row r="50" spans="1:13" ht="12" thickBot="1" x14ac:dyDescent="0.25">
      <c r="M50" s="2"/>
    </row>
    <row r="51" spans="1:13" ht="12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ageMargins left="0.5" right="0.5" top="0.5" bottom="0.5" header="0.5" footer="0.5"/>
  <pageSetup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5997-B5B2-4662-9320-B70C2A511345}">
  <sheetPr>
    <tabColor rgb="FF92D050"/>
    <pageSetUpPr fitToPage="1"/>
  </sheetPr>
  <dimension ref="A1:I56"/>
  <sheetViews>
    <sheetView showGridLines="0" workbookViewId="0">
      <selection activeCell="C37" sqref="C37"/>
    </sheetView>
  </sheetViews>
  <sheetFormatPr defaultRowHeight="11.25" x14ac:dyDescent="0.2"/>
  <cols>
    <col min="1" max="1" width="66.5" bestFit="1" customWidth="1"/>
    <col min="2" max="2" width="1.83203125" customWidth="1"/>
    <col min="3" max="3" width="50.1640625" customWidth="1"/>
    <col min="4" max="4" width="1.83203125" customWidth="1"/>
    <col min="5" max="5" width="8.83203125" bestFit="1" customWidth="1"/>
    <col min="6" max="6" width="0.33203125" customWidth="1"/>
    <col min="7" max="7" width="8.33203125" bestFit="1" customWidth="1"/>
    <col min="8" max="8" width="1.6640625" customWidth="1"/>
    <col min="9" max="9" width="15.6640625" style="25" bestFit="1" customWidth="1"/>
  </cols>
  <sheetData>
    <row r="1" spans="1:9" x14ac:dyDescent="0.2">
      <c r="A1" s="8" t="s">
        <v>0</v>
      </c>
    </row>
    <row r="2" spans="1:9" x14ac:dyDescent="0.2">
      <c r="A2" s="8" t="s">
        <v>1</v>
      </c>
    </row>
    <row r="3" spans="1:9" x14ac:dyDescent="0.2">
      <c r="A3" s="8" t="s">
        <v>2</v>
      </c>
    </row>
    <row r="4" spans="1:9" hidden="1" x14ac:dyDescent="0.2">
      <c r="A4" s="8"/>
    </row>
    <row r="5" spans="1:9" x14ac:dyDescent="0.2">
      <c r="A5" s="340" t="s">
        <v>409</v>
      </c>
      <c r="B5" s="340"/>
      <c r="C5" s="340"/>
      <c r="D5" s="340"/>
      <c r="E5" s="340"/>
      <c r="F5" s="340"/>
      <c r="G5" s="340"/>
      <c r="H5" s="340"/>
      <c r="I5" s="340"/>
    </row>
    <row r="6" spans="1:9" hidden="1" x14ac:dyDescent="0.2">
      <c r="A6" s="8"/>
    </row>
    <row r="8" spans="1:9" x14ac:dyDescent="0.2">
      <c r="A8" s="334" t="s">
        <v>410</v>
      </c>
      <c r="C8" s="334" t="s">
        <v>411</v>
      </c>
      <c r="E8" s="334" t="s">
        <v>412</v>
      </c>
      <c r="F8" s="8"/>
      <c r="G8" s="334" t="s">
        <v>413</v>
      </c>
      <c r="H8" s="8"/>
      <c r="I8" s="335" t="s">
        <v>414</v>
      </c>
    </row>
    <row r="9" spans="1:9" x14ac:dyDescent="0.2">
      <c r="A9" t="s">
        <v>3</v>
      </c>
      <c r="C9" t="str">
        <f>'[1]1'!$A$5</f>
        <v>By Method for Projecting Hurricane Loss &amp; LAE</v>
      </c>
      <c r="E9" t="str">
        <f>'[1]1'!$K$1</f>
        <v>Exhibit 1</v>
      </c>
      <c r="G9" s="336"/>
      <c r="H9" s="336"/>
      <c r="I9" s="25">
        <v>1</v>
      </c>
    </row>
    <row r="10" spans="1:9" x14ac:dyDescent="0.2">
      <c r="A10" t="str">
        <f>'[1]2.1'!$A$4</f>
        <v>Projected Ultimate Non-Hurricane Loss &amp; LAE Ratio</v>
      </c>
      <c r="C10" t="str">
        <f>'[1]2.1'!$A$5</f>
        <v>All Territory Weighted Average</v>
      </c>
      <c r="E10" t="str">
        <f>'[1]2.1'!$J$1</f>
        <v>Exhibit 2</v>
      </c>
      <c r="G10" t="str">
        <f>'[1]2.1'!$J$2</f>
        <v>Sheet 1</v>
      </c>
      <c r="I10" s="25">
        <v>2.1</v>
      </c>
    </row>
    <row r="11" spans="1:9" x14ac:dyDescent="0.2">
      <c r="A11" t="str">
        <f>'[1]2.2a'!$A$4</f>
        <v>Projected Ultimate Non-Hurricane Loss &amp; LAE Ratio based on TWIA experience</v>
      </c>
      <c r="C11" t="str">
        <f>'[1]2.2a'!$A$5</f>
        <v>Tier 1 -- Territory 8 (Galveston County)</v>
      </c>
      <c r="E11" t="str">
        <f>'[1]2.2a'!$J$1</f>
        <v>Exhibit 2</v>
      </c>
      <c r="G11" t="str">
        <f>'[1]2.2a'!$J$2</f>
        <v>Sheet 2a</v>
      </c>
      <c r="I11" s="25" t="s">
        <v>415</v>
      </c>
    </row>
    <row r="12" spans="1:9" x14ac:dyDescent="0.2">
      <c r="A12" t="str">
        <f>'[1]2.2b'!$A$4</f>
        <v>Projected Ultimate Non-Hurricane Loss &amp; LAE Ratio based on TWIA experience</v>
      </c>
      <c r="C12" t="str">
        <f>'[1]2.2b'!$A$5</f>
        <v>Tier 1 -- Territory 9 (Nueces County)</v>
      </c>
      <c r="E12" t="str">
        <f>'[1]2.2b'!$J$1</f>
        <v>Exhibit 2</v>
      </c>
      <c r="G12" t="str">
        <f>'[1]2.2b'!$J$2</f>
        <v>Sheet 2b</v>
      </c>
      <c r="I12" s="25" t="s">
        <v>416</v>
      </c>
    </row>
    <row r="13" spans="1:9" x14ac:dyDescent="0.2">
      <c r="A13" t="str">
        <f>'[1]2.3a'!$A$4</f>
        <v>Projected Ultimate Non-Hurricane Loss</v>
      </c>
      <c r="C13" t="str">
        <f>'[1]2.2c'!$A$5</f>
        <v>Tier 1 -- Territory 10 (Other Tier 1)</v>
      </c>
      <c r="E13" t="str">
        <f>'[1]2.2c'!$J$1</f>
        <v>Exhibit 2</v>
      </c>
      <c r="G13" t="str">
        <f>'[1]2.2c'!$J$2</f>
        <v>Sheet 2c</v>
      </c>
      <c r="I13" s="25" t="s">
        <v>417</v>
      </c>
    </row>
    <row r="14" spans="1:9" x14ac:dyDescent="0.2">
      <c r="A14" t="str">
        <f>'[1]2.2d'!$A$4</f>
        <v>Projected Ultimate Non-Hurricane Loss &amp; LAE Ratio based on TWIA experience</v>
      </c>
      <c r="C14" t="str">
        <f>'[1]2.2d'!$A$5</f>
        <v>Tier 2 -- (Territories 1)</v>
      </c>
      <c r="E14" t="str">
        <f>'[1]2.2d'!$J$1</f>
        <v>Exhibit 2</v>
      </c>
      <c r="G14" t="str">
        <f>'[1]2.2d'!$J$2</f>
        <v>Sheet 2d</v>
      </c>
      <c r="I14" s="25" t="s">
        <v>418</v>
      </c>
    </row>
    <row r="15" spans="1:9" x14ac:dyDescent="0.2">
      <c r="A15" t="str">
        <f>'[1]2.3a'!$A$4</f>
        <v>Projected Ultimate Non-Hurricane Loss</v>
      </c>
      <c r="C15" t="str">
        <f>'[1]2.3a'!$A$5</f>
        <v>Tier 1 -- Territory 8 (Galveston County)</v>
      </c>
      <c r="E15" t="str">
        <f>'[1]2.3a'!$J$1</f>
        <v>Exhibit 2</v>
      </c>
      <c r="G15" t="str">
        <f>'[1]2.3a'!$J$2</f>
        <v>Sheet 3a</v>
      </c>
      <c r="I15" s="25" t="s">
        <v>419</v>
      </c>
    </row>
    <row r="16" spans="1:9" x14ac:dyDescent="0.2">
      <c r="A16" t="str">
        <f>'[1]2.3b'!$A$4</f>
        <v>Projected Ultimate Non-Hurricane Loss</v>
      </c>
      <c r="C16" t="str">
        <f>'[1]2.3b'!$A$5</f>
        <v>Tier 1 -- Territory 9 (Nueces County)</v>
      </c>
      <c r="E16" t="str">
        <f>'[1]2.3b'!$J$1</f>
        <v>Exhibit 2</v>
      </c>
      <c r="G16" t="str">
        <f>'[1]2.3b'!$J$2</f>
        <v>Sheet 3b</v>
      </c>
      <c r="I16" s="25" t="s">
        <v>420</v>
      </c>
    </row>
    <row r="17" spans="1:9" x14ac:dyDescent="0.2">
      <c r="A17" t="str">
        <f>'[1]2.3c'!$A$4</f>
        <v>Projected Ultimate Non-Hurricane Loss</v>
      </c>
      <c r="C17" t="str">
        <f>'[1]2.3c'!$A$5</f>
        <v>Tier 1 -- Territory 10 (Other Tier 1)</v>
      </c>
      <c r="E17" t="str">
        <f>'[1]2.3c'!$J$1</f>
        <v>Exhibit 2</v>
      </c>
      <c r="G17" t="str">
        <f>'[1]2.3c'!$J$2</f>
        <v>Sheet 3c</v>
      </c>
      <c r="I17" s="25" t="s">
        <v>421</v>
      </c>
    </row>
    <row r="18" spans="1:9" x14ac:dyDescent="0.2">
      <c r="A18" t="str">
        <f>'[1]2.3d'!$A$4</f>
        <v>Projected Ultimate Non-Hurricane Loss</v>
      </c>
      <c r="C18" t="str">
        <f>'[1]2.3d'!$A$5</f>
        <v>Tier 2 -- (Territories 1 )</v>
      </c>
      <c r="E18" t="str">
        <f>'[1]2.3d'!$J$1</f>
        <v>Exhibit 2</v>
      </c>
      <c r="G18" t="str">
        <f>'[1]2.3d'!$J$2</f>
        <v>Sheet 3d</v>
      </c>
      <c r="I18" s="25" t="s">
        <v>422</v>
      </c>
    </row>
    <row r="19" spans="1:9" x14ac:dyDescent="0.2">
      <c r="A19" t="s">
        <v>442</v>
      </c>
      <c r="C19" t="str">
        <f>'[1]2.4a'!$A$5</f>
        <v>Tier 1 -- Territory 8 (Galveston County)</v>
      </c>
      <c r="E19" t="str">
        <f>'[1]2.4a'!$J$1</f>
        <v>Exhibit 2</v>
      </c>
      <c r="G19" t="str">
        <f>'[1]2.4a'!$J$2</f>
        <v>Sheet 4a</v>
      </c>
      <c r="I19" s="25" t="s">
        <v>423</v>
      </c>
    </row>
    <row r="20" spans="1:9" x14ac:dyDescent="0.2">
      <c r="A20" t="s">
        <v>442</v>
      </c>
      <c r="C20" t="str">
        <f>'[1]2.4b'!$A$5</f>
        <v>Tier 1 -- Territory 9 (Nueces County)</v>
      </c>
      <c r="E20" t="str">
        <f>'[1]2.4b'!$J$1</f>
        <v>Exhibit 2</v>
      </c>
      <c r="G20" t="str">
        <f>'[1]2.4b'!$J$2</f>
        <v>Sheet 4b</v>
      </c>
      <c r="I20" s="25" t="s">
        <v>424</v>
      </c>
    </row>
    <row r="21" spans="1:9" x14ac:dyDescent="0.2">
      <c r="A21" t="s">
        <v>442</v>
      </c>
      <c r="C21" t="str">
        <f>'[1]2.4c'!$A$5</f>
        <v>Tier 1 -- Territory 10 (Other Tier 1)</v>
      </c>
      <c r="E21" t="str">
        <f>'[1]2.4c'!$J$1</f>
        <v>Exhibit 2</v>
      </c>
      <c r="G21" t="str">
        <f>'[1]2.4c'!$J$2</f>
        <v>Sheet 4c</v>
      </c>
      <c r="I21" s="25" t="s">
        <v>425</v>
      </c>
    </row>
    <row r="22" spans="1:9" x14ac:dyDescent="0.2">
      <c r="A22" t="s">
        <v>442</v>
      </c>
      <c r="C22" t="str">
        <f>'[1]2.4d'!$A$5</f>
        <v>Tier 2 -- (Territories 1)</v>
      </c>
      <c r="E22" t="str">
        <f>'[1]2.4d'!$J$1</f>
        <v>Exhibit 2</v>
      </c>
      <c r="G22" t="str">
        <f>'[1]2.4d'!$J$2</f>
        <v>Sheet 4d</v>
      </c>
      <c r="I22" s="25" t="s">
        <v>426</v>
      </c>
    </row>
    <row r="23" spans="1:9" x14ac:dyDescent="0.2">
      <c r="A23" t="str">
        <f>'[1]trend 2.5'!$A$4</f>
        <v>Calculation of Net Trend Factors</v>
      </c>
      <c r="C23" s="308"/>
      <c r="E23" t="str">
        <f>'[1]trend 2.5'!$L$1</f>
        <v>Exhibit 2</v>
      </c>
      <c r="G23" t="str">
        <f>'[1]trend 2.5'!$L$2</f>
        <v>Sheet 5</v>
      </c>
      <c r="I23" s="25" t="s">
        <v>427</v>
      </c>
    </row>
    <row r="24" spans="1:9" x14ac:dyDescent="0.2">
      <c r="A24" t="str">
        <f>'[1]ldf 3.1a'!$A$4</f>
        <v>Paid Loss Development Factors</v>
      </c>
      <c r="C24" t="str">
        <f>'[1]ldf 3.1a'!$A$5</f>
        <v>Statewide Industry Extended Coverage Dwelling Paid Loss</v>
      </c>
      <c r="E24" t="str">
        <f>'[1]ldf 3.1a'!$L$1</f>
        <v>Exhibit 3</v>
      </c>
      <c r="G24" t="str">
        <f>'[1]ldf 3.1a'!$L$2</f>
        <v>Sheet 1</v>
      </c>
      <c r="I24" s="25" t="s">
        <v>428</v>
      </c>
    </row>
    <row r="25" spans="1:9" x14ac:dyDescent="0.2">
      <c r="A25" t="str">
        <f>'[1]ldf 3.1b'!$A$4</f>
        <v>Incurred Loss Development Factors</v>
      </c>
      <c r="C25" t="str">
        <f>'[1]ldf 3.1b'!$A$5</f>
        <v>Statewide Industry Extended Coverage Dwelling Paid Loss</v>
      </c>
      <c r="E25" t="str">
        <f>'[1]ldf 3.1b'!$L$1</f>
        <v>Exhibit 3</v>
      </c>
      <c r="G25" t="str">
        <f>'[1]ldf 3.1b'!$L$2</f>
        <v>Sheet 1</v>
      </c>
      <c r="I25" s="25" t="s">
        <v>429</v>
      </c>
    </row>
    <row r="26" spans="1:9" x14ac:dyDescent="0.2">
      <c r="A26" t="str">
        <f>'[1]3.2 premium trend'!$A$4</f>
        <v>Premium Trend Analysis</v>
      </c>
      <c r="C26" t="str">
        <f>'[1]3.2 premium trend'!$A$5</f>
        <v>TWIA Residential Earned Premium at Present Rates</v>
      </c>
      <c r="I26" s="25" t="s">
        <v>430</v>
      </c>
    </row>
    <row r="27" spans="1:9" x14ac:dyDescent="0.2">
      <c r="A27" t="str">
        <f>'[1]3.3a'!$A$4</f>
        <v>Loss Trend Analysis</v>
      </c>
      <c r="C27" t="str">
        <f>'[1]3.3a'!$A$5</f>
        <v>Summary of Indices and Calculation of Prospective Loss Costs</v>
      </c>
      <c r="E27" t="str">
        <f>'[1]3.3a'!$L$1</f>
        <v>Exhibit 3</v>
      </c>
      <c r="G27" t="str">
        <f>'[1]3.3a'!$L$2</f>
        <v>Sheet 3a</v>
      </c>
      <c r="I27" s="25" t="s">
        <v>431</v>
      </c>
    </row>
    <row r="28" spans="1:9" x14ac:dyDescent="0.2">
      <c r="A28" t="str">
        <f>'[1]3.3b'!$A$4</f>
        <v>Loss Trend Analysis</v>
      </c>
      <c r="C28" t="str">
        <f>'[1]3.3b'!$A$5</f>
        <v>Boeckh Residential Construction Index Trend (Statewide)</v>
      </c>
      <c r="E28" t="str">
        <f>'[1]3.3b'!$L$1</f>
        <v>Exhibit 3</v>
      </c>
      <c r="G28" t="str">
        <f>'[1]3.3b'!$L$2</f>
        <v>Sheet 3b</v>
      </c>
      <c r="I28" s="25" t="s">
        <v>432</v>
      </c>
    </row>
    <row r="29" spans="1:9" x14ac:dyDescent="0.2">
      <c r="A29" t="str">
        <f>'[1]3.3c'!$A$4</f>
        <v>Loss Trend Analysis</v>
      </c>
      <c r="C29" t="str">
        <f>'[1]3.3c'!$A$5</f>
        <v>Boeckh Residential Construction Index Trend (Coastal)</v>
      </c>
      <c r="E29" t="str">
        <f>'[1]3.3c'!$L$1</f>
        <v>Exhibit 3</v>
      </c>
      <c r="G29" t="str">
        <f>'[1]3.3c'!$L$2</f>
        <v>Sheet 3c</v>
      </c>
      <c r="I29" s="25" t="s">
        <v>433</v>
      </c>
    </row>
    <row r="30" spans="1:9" x14ac:dyDescent="0.2">
      <c r="A30" t="str">
        <f>'[1]3.3d'!$A$4</f>
        <v>Loss Trend Analysis</v>
      </c>
      <c r="C30" t="str">
        <f>'[1]3.3d'!$A$5</f>
        <v>Modified Consumer Price Index - External Trend</v>
      </c>
      <c r="E30" t="str">
        <f>'[1]3.3d'!$L$1</f>
        <v>Exhibit 3</v>
      </c>
      <c r="G30" t="str">
        <f>'[1]3.3d'!$L$2</f>
        <v>Sheet 3d</v>
      </c>
      <c r="I30" s="25" t="s">
        <v>434</v>
      </c>
    </row>
    <row r="31" spans="1:9" x14ac:dyDescent="0.2">
      <c r="A31" t="str">
        <f>'[1]4.1'!$A$4</f>
        <v>Development of LAE factor Using TWIA Commercial + Residential Experience</v>
      </c>
      <c r="C31" s="336"/>
      <c r="E31" t="str">
        <f>+'[1]4.1'!J1</f>
        <v>Exhibit 4</v>
      </c>
      <c r="G31" t="str">
        <f>+'[1]4.1'!J2</f>
        <v>Sheet 1</v>
      </c>
      <c r="I31" s="25">
        <v>4.0999999999999996</v>
      </c>
    </row>
    <row r="32" spans="1:9" x14ac:dyDescent="0.2">
      <c r="A32" t="str">
        <f>'[1]4.2'!$A$4</f>
        <v>Ultimate Loss (TWIA All Lines)</v>
      </c>
      <c r="C32" s="336"/>
      <c r="E32" t="str">
        <f>+'[1]4.2'!K1</f>
        <v>Exhibit 4</v>
      </c>
      <c r="G32" t="str">
        <f>+'[1]4.2'!K2</f>
        <v>Sheet 2</v>
      </c>
      <c r="I32" s="25">
        <v>4.2</v>
      </c>
    </row>
    <row r="33" spans="1:9" x14ac:dyDescent="0.2">
      <c r="A33" t="str">
        <f>+'[1]4.3AS loss Dev'!A4</f>
        <v>Incurred Loss Development Factors</v>
      </c>
      <c r="C33" t="str">
        <f>+'[1]4.3AS loss Dev'!A5</f>
        <v>TWIA Schedule P Incurred Loss (Including IBNR)</v>
      </c>
      <c r="E33" t="str">
        <f>+'[1]4.3AS loss Dev'!K1</f>
        <v>Exhibit 4</v>
      </c>
      <c r="G33" t="str">
        <f>+'[1]4.3AS loss Dev'!K2</f>
        <v>Sheet 3</v>
      </c>
      <c r="I33" s="25" t="s">
        <v>435</v>
      </c>
    </row>
    <row r="34" spans="1:9" x14ac:dyDescent="0.2">
      <c r="A34" t="str">
        <f>+'[1]4.4'!A4</f>
        <v>Ultimate LAE (TWIA All Lines)</v>
      </c>
      <c r="C34" s="336"/>
      <c r="E34" t="str">
        <f>+'[1]4.4'!J1</f>
        <v>Exhibit 4</v>
      </c>
      <c r="G34" t="str">
        <f>+'[1]4.4'!J2</f>
        <v>Sheet 4</v>
      </c>
      <c r="I34" s="25">
        <v>4.4000000000000004</v>
      </c>
    </row>
    <row r="35" spans="1:9" x14ac:dyDescent="0.2">
      <c r="A35" t="str">
        <f>+'[1]4.5AS LAE Dev'!A4</f>
        <v>Incurred ALAE Development Factors</v>
      </c>
      <c r="C35" t="str">
        <f>+'[1]4.5AS LAE Dev'!A5</f>
        <v>TWIA Schedule P Incurred ALAE (Including IBNR)</v>
      </c>
      <c r="E35" t="str">
        <f>+'[1]4.5AS LAE Dev'!K1</f>
        <v>Exhibit 4</v>
      </c>
      <c r="G35" t="str">
        <f>+'[1]4.5AS LAE Dev'!K2</f>
        <v>Sheet 5</v>
      </c>
      <c r="I35" s="25" t="s">
        <v>436</v>
      </c>
    </row>
    <row r="36" spans="1:9" x14ac:dyDescent="0.2">
      <c r="A36" t="str">
        <f>+'[1]5'!A4</f>
        <v>Summary of Indicated Hurricane Loss &amp; LAE Ratios</v>
      </c>
      <c r="C36" s="336"/>
      <c r="E36" t="str">
        <f>+'[1]5'!H1</f>
        <v>Exhibit 5</v>
      </c>
      <c r="G36" s="336"/>
      <c r="H36" s="336"/>
      <c r="I36" s="25">
        <v>5</v>
      </c>
    </row>
    <row r="37" spans="1:9" x14ac:dyDescent="0.2">
      <c r="A37" t="str">
        <f>+'[1]6.1'!A4</f>
        <v>Industry Experience -- Residential Extended Coverage</v>
      </c>
      <c r="C37" t="s">
        <v>444</v>
      </c>
      <c r="E37" t="str">
        <f>+'[1]6.1'!K1</f>
        <v>Exhibit 6</v>
      </c>
      <c r="G37" t="str">
        <f>+'[1]6.1'!K2</f>
        <v>Sheet 1</v>
      </c>
      <c r="I37" s="25">
        <v>6.1</v>
      </c>
    </row>
    <row r="38" spans="1:9" x14ac:dyDescent="0.2">
      <c r="A38" t="str">
        <f>+'[1]6.2'!A4</f>
        <v>Industry Experience -- Residential Extended Coverage</v>
      </c>
      <c r="C38" t="s">
        <v>445</v>
      </c>
      <c r="E38" t="str">
        <f>+'[1]6.2'!J1</f>
        <v>Exhibit 6</v>
      </c>
      <c r="G38" t="str">
        <f>+'[1]6.2'!J2</f>
        <v>Sheet 2</v>
      </c>
      <c r="I38" s="25">
        <v>6.2</v>
      </c>
    </row>
    <row r="39" spans="1:9" x14ac:dyDescent="0.2">
      <c r="A39" t="str">
        <f>+'[1]6.3'!A4</f>
        <v>Industry Experience -- Residential Extended Coverage</v>
      </c>
      <c r="I39" s="25">
        <v>6.3</v>
      </c>
    </row>
    <row r="40" spans="1:9" x14ac:dyDescent="0.2">
      <c r="A40" t="str">
        <f>'[1]6.4'!$A$4</f>
        <v>Industry Experience -- Residential Extended Coverage</v>
      </c>
      <c r="C40" t="str">
        <f>+'[1]6.4'!A5</f>
        <v>Tier 1 -- Territory 8 (Galveston County)</v>
      </c>
      <c r="E40" t="str">
        <f>+'[1]6.4'!I1</f>
        <v>Exhibit 6</v>
      </c>
      <c r="G40" t="str">
        <f>+'[1]6.4'!I2</f>
        <v>Sheet 4</v>
      </c>
      <c r="I40" s="25">
        <v>6.4</v>
      </c>
    </row>
    <row r="41" spans="1:9" x14ac:dyDescent="0.2">
      <c r="A41" t="str">
        <f>+'[1]6.5'!A4</f>
        <v>Industry Experience -- Residential Extended Coverage</v>
      </c>
      <c r="C41" t="str">
        <f>+'[1]6.5'!A5</f>
        <v>Tier 1 -- Territory 9 (Nueces County)</v>
      </c>
      <c r="E41" t="str">
        <f>+'[1]6.5'!I1</f>
        <v>Exhibit 6</v>
      </c>
      <c r="G41" t="str">
        <f>+'[1]6.5'!I2</f>
        <v>Sheet 5</v>
      </c>
      <c r="I41" s="25">
        <v>6.5</v>
      </c>
    </row>
    <row r="42" spans="1:9" x14ac:dyDescent="0.2">
      <c r="A42" t="str">
        <f>+'[1]6.5'!A4</f>
        <v>Industry Experience -- Residential Extended Coverage</v>
      </c>
      <c r="C42" t="str">
        <f>+'[1]6.6'!A5</f>
        <v>Tier 1 -- Territory 10 (Other Tier 1)</v>
      </c>
      <c r="E42" t="str">
        <f>+'[1]6.6'!I1</f>
        <v>Exhibit 6</v>
      </c>
      <c r="G42" t="str">
        <f>+'[1]6.6'!I2</f>
        <v>Sheet 6</v>
      </c>
      <c r="I42" s="25">
        <v>6.6</v>
      </c>
    </row>
    <row r="43" spans="1:9" x14ac:dyDescent="0.2">
      <c r="A43" t="str">
        <f>+'[1]6.7'!A4</f>
        <v>Industry Experience -- Residential Extended Coverage</v>
      </c>
      <c r="C43" t="str">
        <f>+'[1]6.7'!A5</f>
        <v>Tier 2 -- (Territories 1 and 11)</v>
      </c>
      <c r="E43" t="str">
        <f>+'[1]6.7'!I1</f>
        <v>Exhibit 6</v>
      </c>
      <c r="G43" t="str">
        <f>+'[1]6.7'!I2</f>
        <v>Sheet 7</v>
      </c>
      <c r="I43" s="25">
        <v>6.7</v>
      </c>
    </row>
    <row r="44" spans="1:9" x14ac:dyDescent="0.2">
      <c r="A44" t="str">
        <f>+'[1]7.1'!A4</f>
        <v>Hurricane Loss Ratio -- AIR Model</v>
      </c>
      <c r="E44" t="str">
        <f>+'[1]7.1'!K1</f>
        <v>Exhibit 7</v>
      </c>
      <c r="G44" t="str">
        <f>+'[1]7.1'!K2</f>
        <v>Sheet 1</v>
      </c>
      <c r="I44" s="25">
        <v>7.1</v>
      </c>
    </row>
    <row r="45" spans="1:9" x14ac:dyDescent="0.2">
      <c r="A45" t="str">
        <f>+'[1]7.2'!A4</f>
        <v>AIR Simulated Hurricane Results</v>
      </c>
      <c r="E45" t="str">
        <f>+'[1]7.2'!K1</f>
        <v>Exhibit 7</v>
      </c>
      <c r="G45" t="str">
        <f>+'[1]7.2'!K2</f>
        <v>Sheet 2</v>
      </c>
      <c r="I45" s="25">
        <v>7.2</v>
      </c>
    </row>
    <row r="46" spans="1:9" x14ac:dyDescent="0.2">
      <c r="A46" t="str">
        <f>+'[1]8.1'!A4</f>
        <v>Hurricane Loss Ratio -- RMS Model</v>
      </c>
      <c r="E46" t="str">
        <f>+'[1]8.1'!K1</f>
        <v>Exhibit 8</v>
      </c>
      <c r="G46" t="str">
        <f>+'[1]8.1'!K2</f>
        <v>Sheet 1</v>
      </c>
      <c r="I46" s="25">
        <v>8.1</v>
      </c>
    </row>
    <row r="47" spans="1:9" x14ac:dyDescent="0.2">
      <c r="A47" t="str">
        <f>+'[1]8.2'!A4</f>
        <v>RMS Simulated Hurricane Results</v>
      </c>
      <c r="E47" t="str">
        <f>+'[1]8.2'!K1</f>
        <v>Exhibit 8</v>
      </c>
      <c r="G47" t="str">
        <f>+'[1]8.2'!K2</f>
        <v>Sheet 2</v>
      </c>
      <c r="I47" s="25">
        <v>8.1999999999999993</v>
      </c>
    </row>
    <row r="48" spans="1:9" x14ac:dyDescent="0.2">
      <c r="A48" t="s">
        <v>443</v>
      </c>
      <c r="E48" t="str">
        <f>+'[1]9'!J1</f>
        <v>Exhibit 9</v>
      </c>
      <c r="G48" s="336"/>
      <c r="H48" s="336"/>
      <c r="I48" s="25">
        <v>9</v>
      </c>
    </row>
    <row r="49" spans="1:9" x14ac:dyDescent="0.2">
      <c r="A49" t="str">
        <f>+'[1]10.1a'!A4</f>
        <v>Calculation of TWIA Earned Premium at Present Rate Level</v>
      </c>
      <c r="C49" t="str">
        <f>+'[1]10.1a'!A5</f>
        <v>Tier 1 -- Territory 8 (Galveston County)</v>
      </c>
      <c r="E49" t="str">
        <f>+'[1]10.1a'!J1</f>
        <v>Exhibit 10</v>
      </c>
      <c r="G49" t="str">
        <f>+'[1]10.1a'!J2</f>
        <v>Sheet 1a</v>
      </c>
      <c r="I49" s="25" t="s">
        <v>437</v>
      </c>
    </row>
    <row r="50" spans="1:9" x14ac:dyDescent="0.2">
      <c r="A50" t="str">
        <f>+'[1]10.1b'!A4</f>
        <v>Calculation of TWIA Earned Premium at Present Rate Level</v>
      </c>
      <c r="C50" t="str">
        <f>+'[1]10.1b'!A5</f>
        <v>Tier 1 -- Territory 9 (Nueces County)</v>
      </c>
      <c r="E50" t="str">
        <f>+'[1]10.1b'!J1</f>
        <v>Exhibit 10</v>
      </c>
      <c r="G50" t="str">
        <f>+'[1]10.1b'!J2</f>
        <v>Sheet 1b</v>
      </c>
      <c r="I50" s="25" t="s">
        <v>438</v>
      </c>
    </row>
    <row r="51" spans="1:9" x14ac:dyDescent="0.2">
      <c r="A51" t="str">
        <f>+'[1]10.1c'!A4</f>
        <v>Calculation of TWIA Earned Premium at Present Rate Level</v>
      </c>
      <c r="C51" t="str">
        <f>+'[1]10.1c'!A5</f>
        <v>Tier 1 -- Territory 10 (Other Tier 1)</v>
      </c>
      <c r="E51" t="str">
        <f>+'[1]10.1c'!J1</f>
        <v>Exhibit 10</v>
      </c>
      <c r="G51" t="str">
        <f>+'[1]10.1c'!J2</f>
        <v>Sheet 1c</v>
      </c>
      <c r="I51" s="25" t="s">
        <v>439</v>
      </c>
    </row>
    <row r="52" spans="1:9" x14ac:dyDescent="0.2">
      <c r="A52" t="str">
        <f>+'[1]10.1d'!A4</f>
        <v>Calculation of TWIA Earned Premium at Present Rate Level</v>
      </c>
      <c r="C52" t="str">
        <f>+'[1]10.1d'!A5</f>
        <v>Tier 2 -- (Territories 1 and 11)</v>
      </c>
      <c r="E52" t="str">
        <f>+'[1]10.1d'!J1</f>
        <v>Exhibit 10</v>
      </c>
      <c r="G52" t="str">
        <f>+'[1]10.1d'!J2</f>
        <v>Sheet 1d</v>
      </c>
      <c r="I52" s="25" t="s">
        <v>440</v>
      </c>
    </row>
    <row r="53" spans="1:9" x14ac:dyDescent="0.2">
      <c r="A53" t="str">
        <f>+'[1]10.2'!A4</f>
        <v>Calculation of TWIA Earned Premium at Present Rate Level</v>
      </c>
      <c r="E53" t="str">
        <f>+'[1]10.2'!J1</f>
        <v>Exhibit 10</v>
      </c>
      <c r="G53" t="str">
        <f>+'[1]10.2'!J2</f>
        <v>Sheet 2</v>
      </c>
      <c r="I53" s="25">
        <v>10.199999999999999</v>
      </c>
    </row>
    <row r="54" spans="1:9" x14ac:dyDescent="0.2">
      <c r="A54" t="str">
        <f>+'[1]11.1'!A4</f>
        <v>Fixed Expenses and Variable Permissible Loss &amp; LAE Ratios</v>
      </c>
      <c r="E54" t="str">
        <f>+'[1]11.1'!J1</f>
        <v>Exhibit 11</v>
      </c>
      <c r="G54" t="str">
        <f>+'[1]11.1'!J2</f>
        <v>Sheet 1</v>
      </c>
      <c r="I54" s="25">
        <v>11.1</v>
      </c>
    </row>
    <row r="55" spans="1:9" x14ac:dyDescent="0.2">
      <c r="A55" t="str">
        <f>+'[1]11.2'!A4</f>
        <v>Development of Reinsurer Expense</v>
      </c>
      <c r="C55" t="str">
        <f>+'[1]11.2'!A5</f>
        <v>Using Average of AIR and  RMS Hurricane Models</v>
      </c>
      <c r="E55" t="str">
        <f>+'[1]11.2'!H1</f>
        <v>Exhibit 11</v>
      </c>
      <c r="G55" t="str">
        <f>+'[1]11.2'!H2</f>
        <v>Sheet 2</v>
      </c>
      <c r="I55" s="25">
        <v>11.2</v>
      </c>
    </row>
    <row r="56" spans="1:9" x14ac:dyDescent="0.2">
      <c r="A56" t="str">
        <f>+'[1]12'!A4</f>
        <v>Reconciliation of Premium Data to Annual Statement</v>
      </c>
      <c r="E56" t="str">
        <f>+'[1]12'!J1</f>
        <v>Exhibit 12</v>
      </c>
      <c r="G56" s="336"/>
      <c r="H56" s="336"/>
      <c r="I56" s="25">
        <v>12</v>
      </c>
    </row>
  </sheetData>
  <mergeCells count="1">
    <mergeCell ref="A5:I5"/>
  </mergeCells>
  <pageMargins left="0.7" right="0.7" top="0.75" bottom="0.75" header="0.3" footer="0.3"/>
  <pageSetup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1">
    <tabColor rgb="FF92D050"/>
    <pageSetUpPr fitToPage="1"/>
  </sheetPr>
  <dimension ref="A1:R71"/>
  <sheetViews>
    <sheetView showGridLines="0" workbookViewId="0">
      <selection activeCell="C73" sqref="C73"/>
    </sheetView>
  </sheetViews>
  <sheetFormatPr defaultColWidth="11.33203125" defaultRowHeight="11.25" x14ac:dyDescent="0.2"/>
  <cols>
    <col min="1" max="1" width="4.5" style="98" bestFit="1" customWidth="1"/>
    <col min="2" max="2" width="3.5" style="98" customWidth="1"/>
    <col min="3" max="3" width="14.33203125" style="262" customWidth="1"/>
    <col min="4" max="4" width="11.1640625" style="98" bestFit="1" customWidth="1"/>
    <col min="5" max="5" width="7.33203125" style="98" bestFit="1" customWidth="1"/>
    <col min="6" max="6" width="15.83203125" style="98" customWidth="1"/>
    <col min="7" max="7" width="16.5" style="98" customWidth="1"/>
    <col min="8" max="8" width="18.83203125" style="98" customWidth="1"/>
    <col min="9" max="9" width="11.83203125" style="98" customWidth="1"/>
    <col min="10" max="10" width="12.1640625" style="98" customWidth="1"/>
    <col min="11" max="11" width="12" style="98" customWidth="1"/>
    <col min="12" max="12" width="12.6640625" style="98" customWidth="1"/>
    <col min="13" max="16384" width="11.33203125" style="98"/>
  </cols>
  <sheetData>
    <row r="1" spans="1:17" x14ac:dyDescent="0.2">
      <c r="A1" s="8" t="str">
        <f>'1'!$A$1</f>
        <v>Texas Windstorm Insurance Association</v>
      </c>
      <c r="C1" s="11"/>
      <c r="D1"/>
      <c r="E1"/>
      <c r="F1"/>
      <c r="G1"/>
      <c r="H1"/>
      <c r="L1" s="7" t="s">
        <v>67</v>
      </c>
      <c r="M1" s="1"/>
    </row>
    <row r="2" spans="1:17" x14ac:dyDescent="0.2">
      <c r="A2" s="8" t="str">
        <f>'1'!$A$2</f>
        <v>Residential Property - Wind &amp; Hail</v>
      </c>
      <c r="C2" s="11"/>
      <c r="D2"/>
      <c r="E2"/>
      <c r="F2"/>
      <c r="G2"/>
      <c r="H2"/>
      <c r="L2" s="7" t="s">
        <v>85</v>
      </c>
      <c r="M2" s="2"/>
    </row>
    <row r="3" spans="1:17" x14ac:dyDescent="0.2">
      <c r="A3" s="8" t="str">
        <f>'1'!$A$3</f>
        <v>Rate Level Review</v>
      </c>
      <c r="C3" s="11"/>
      <c r="D3"/>
      <c r="E3"/>
      <c r="F3"/>
      <c r="G3"/>
      <c r="H3"/>
      <c r="I3"/>
      <c r="J3"/>
      <c r="K3"/>
      <c r="L3"/>
      <c r="M3" s="2"/>
    </row>
    <row r="4" spans="1:17" x14ac:dyDescent="0.2">
      <c r="A4" t="s">
        <v>230</v>
      </c>
      <c r="C4" s="11"/>
      <c r="D4"/>
      <c r="E4"/>
      <c r="F4"/>
      <c r="G4"/>
      <c r="H4"/>
      <c r="I4"/>
      <c r="J4"/>
      <c r="K4"/>
      <c r="L4"/>
      <c r="M4" s="2"/>
    </row>
    <row r="5" spans="1:17" x14ac:dyDescent="0.2">
      <c r="A5" s="12" t="s">
        <v>294</v>
      </c>
      <c r="C5" s="11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 s="11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210"/>
      <c r="D7" s="6"/>
      <c r="E7" s="6"/>
      <c r="F7" s="6"/>
      <c r="G7" s="6"/>
      <c r="H7" s="6"/>
      <c r="I7" s="6"/>
      <c r="J7" s="6"/>
      <c r="K7" s="6"/>
      <c r="L7" s="6"/>
      <c r="M7" s="2"/>
    </row>
    <row r="8" spans="1:17" ht="12" thickTop="1" x14ac:dyDescent="0.2">
      <c r="A8"/>
      <c r="B8"/>
      <c r="C8" s="11"/>
      <c r="D8"/>
      <c r="E8"/>
      <c r="F8"/>
      <c r="G8" s="173" t="s">
        <v>71</v>
      </c>
      <c r="H8" s="50" t="s">
        <v>71</v>
      </c>
      <c r="I8"/>
      <c r="J8"/>
      <c r="K8"/>
      <c r="L8"/>
      <c r="M8" s="2"/>
    </row>
    <row r="9" spans="1:17" x14ac:dyDescent="0.2">
      <c r="A9"/>
      <c r="B9"/>
      <c r="C9" s="257"/>
      <c r="D9" s="12"/>
      <c r="E9" t="s">
        <v>297</v>
      </c>
      <c r="G9" t="s">
        <v>212</v>
      </c>
      <c r="H9" t="s">
        <v>212</v>
      </c>
      <c r="I9"/>
      <c r="J9"/>
      <c r="K9"/>
      <c r="L9"/>
      <c r="M9" s="2"/>
    </row>
    <row r="10" spans="1:17" x14ac:dyDescent="0.2">
      <c r="A10" t="s">
        <v>232</v>
      </c>
      <c r="B10"/>
      <c r="C10" s="11" t="s">
        <v>346</v>
      </c>
      <c r="D10" t="s">
        <v>231</v>
      </c>
      <c r="E10" t="s">
        <v>288</v>
      </c>
      <c r="F10" s="50" t="s">
        <v>212</v>
      </c>
      <c r="G10" s="98" t="s">
        <v>286</v>
      </c>
      <c r="H10" s="98" t="s">
        <v>286</v>
      </c>
      <c r="I10" s="10" t="s">
        <v>287</v>
      </c>
      <c r="J10"/>
      <c r="K10"/>
      <c r="L10"/>
      <c r="M10" s="2"/>
      <c r="N10" s="11" t="s">
        <v>233</v>
      </c>
    </row>
    <row r="11" spans="1:17" x14ac:dyDescent="0.2">
      <c r="A11" s="9" t="s">
        <v>234</v>
      </c>
      <c r="B11" s="9"/>
      <c r="C11" s="258" t="s">
        <v>231</v>
      </c>
      <c r="D11" s="9" t="s">
        <v>127</v>
      </c>
      <c r="E11" s="9" t="s">
        <v>293</v>
      </c>
      <c r="F11" s="313" t="s">
        <v>286</v>
      </c>
      <c r="G11" s="313" t="s">
        <v>347</v>
      </c>
      <c r="H11" s="313" t="s">
        <v>348</v>
      </c>
      <c r="I11" s="9" t="s">
        <v>289</v>
      </c>
      <c r="J11" s="9" t="s">
        <v>281</v>
      </c>
      <c r="K11" s="9" t="s">
        <v>282</v>
      </c>
      <c r="L11" s="9" t="s">
        <v>283</v>
      </c>
      <c r="M11" s="2"/>
      <c r="N11" s="255" t="s">
        <v>34</v>
      </c>
      <c r="O11" s="254" t="s">
        <v>235</v>
      </c>
    </row>
    <row r="12" spans="1:17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315" t="s">
        <v>123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7" x14ac:dyDescent="0.2">
      <c r="A13"/>
      <c r="B13"/>
      <c r="C13" s="11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s="73" t="str">
        <f t="shared" ref="A14:A48" si="1">YEAR(N14)&amp;" / "&amp;MONTH(N14)/3</f>
        <v>2010 / 2</v>
      </c>
      <c r="C14" s="259">
        <f>'[3]TWIA 4 Premium Trend'!$F18</f>
        <v>72174</v>
      </c>
      <c r="D14" s="177">
        <f>'[3]TWIA 4 Premium Trend'!$E18</f>
        <v>82603320</v>
      </c>
      <c r="E14" s="159">
        <f>'[4]3.2 premium trend'!$E18</f>
        <v>1.4071004226562505</v>
      </c>
      <c r="F14" s="290">
        <f>D14*E14</f>
        <v>116231166.4848095</v>
      </c>
      <c r="G14" s="281">
        <f>F14/C14</f>
        <v>1610.42988451256</v>
      </c>
      <c r="H14" s="281"/>
      <c r="I14" s="19"/>
      <c r="J14" s="19"/>
      <c r="K14" s="19"/>
      <c r="L14" s="19"/>
      <c r="M14" s="2"/>
      <c r="N14" s="171">
        <f t="shared" ref="N14:N43" si="2">DATE(YEAR(N15+1),MONTH(N15+1)-3,1)-1</f>
        <v>40359</v>
      </c>
      <c r="O14" s="172">
        <f t="shared" ref="O14:O48" si="3">YEAR(N14)+MONTH(N14)/12</f>
        <v>2010.5</v>
      </c>
      <c r="Q14" s="317"/>
    </row>
    <row r="15" spans="1:17" x14ac:dyDescent="0.2">
      <c r="A15" s="73" t="str">
        <f t="shared" si="1"/>
        <v>2010 / 3</v>
      </c>
      <c r="C15" s="259">
        <f>'[3]TWIA 4 Premium Trend'!$F19</f>
        <v>80037</v>
      </c>
      <c r="D15" s="177">
        <f>'[3]TWIA 4 Premium Trend'!$E19</f>
        <v>91866506</v>
      </c>
      <c r="E15" s="159">
        <f>'[4]3.2 premium trend'!$E19</f>
        <v>1.4071004226562505</v>
      </c>
      <c r="F15" s="290">
        <f t="shared" ref="F15:F52" si="4">D15*E15</f>
        <v>129265399.42055297</v>
      </c>
      <c r="G15" s="281">
        <f t="shared" ref="G15:G52" si="5">F15/C15</f>
        <v>1615.070522640191</v>
      </c>
      <c r="H15" s="281"/>
      <c r="I15" s="19"/>
      <c r="J15" s="19"/>
      <c r="K15" s="19"/>
      <c r="L15" s="19"/>
      <c r="M15" s="2"/>
      <c r="N15" s="171">
        <f t="shared" si="2"/>
        <v>40451</v>
      </c>
      <c r="O15" s="172">
        <f t="shared" si="3"/>
        <v>2010.75</v>
      </c>
      <c r="Q15" s="317"/>
    </row>
    <row r="16" spans="1:17" x14ac:dyDescent="0.2">
      <c r="A16" s="73" t="str">
        <f t="shared" si="1"/>
        <v>2010 / 4</v>
      </c>
      <c r="C16" s="259">
        <f>'[3]TWIA 4 Premium Trend'!$F20</f>
        <v>50797</v>
      </c>
      <c r="D16" s="177">
        <f>'[3]TWIA 4 Premium Trend'!$E20</f>
        <v>58863267</v>
      </c>
      <c r="E16" s="159">
        <f>'[4]3.2 premium trend'!$E20</f>
        <v>1.4071004226562505</v>
      </c>
      <c r="F16" s="290">
        <f t="shared" si="4"/>
        <v>82826527.874627724</v>
      </c>
      <c r="G16" s="281">
        <f t="shared" si="5"/>
        <v>1630.539753816716</v>
      </c>
      <c r="H16" s="281"/>
      <c r="I16" s="19"/>
      <c r="J16" s="19"/>
      <c r="K16" s="19"/>
      <c r="L16" s="19"/>
      <c r="M16" s="2"/>
      <c r="N16" s="171">
        <f t="shared" si="2"/>
        <v>40543</v>
      </c>
      <c r="O16" s="172">
        <f t="shared" si="3"/>
        <v>2011</v>
      </c>
      <c r="Q16" s="317"/>
    </row>
    <row r="17" spans="1:18" x14ac:dyDescent="0.2">
      <c r="A17" s="73" t="str">
        <f t="shared" si="1"/>
        <v>2011 / 1</v>
      </c>
      <c r="B17"/>
      <c r="C17" s="259">
        <f>'[3]TWIA 4 Premium Trend'!$F21</f>
        <v>49776</v>
      </c>
      <c r="D17" s="177">
        <f>'[3]TWIA 4 Premium Trend'!$E21</f>
        <v>59951748</v>
      </c>
      <c r="E17" s="159">
        <f>'[4]3.2 premium trend'!$E21</f>
        <v>1.3400956406250004</v>
      </c>
      <c r="F17" s="290">
        <f t="shared" si="4"/>
        <v>80341076.142648593</v>
      </c>
      <c r="G17" s="281">
        <f t="shared" si="5"/>
        <v>1614.0524779542068</v>
      </c>
      <c r="H17" s="314">
        <f>IFERROR(SUM(F14:F17)/SUM(C14:C17),0)</f>
        <v>1616.653624923408</v>
      </c>
      <c r="I17" s="271">
        <f>GROWTH($H$17:$H$52,$O$17:$O$52,$O17,1)</f>
        <v>1607.7344125463717</v>
      </c>
      <c r="M17" s="2"/>
      <c r="N17" s="171">
        <f t="shared" si="2"/>
        <v>40633</v>
      </c>
      <c r="O17" s="172">
        <f t="shared" si="3"/>
        <v>2011.25</v>
      </c>
      <c r="Q17" s="317"/>
    </row>
    <row r="18" spans="1:18" x14ac:dyDescent="0.2">
      <c r="A18" s="73" t="str">
        <f t="shared" si="1"/>
        <v>2011 / 2</v>
      </c>
      <c r="B18" s="51"/>
      <c r="C18" s="259">
        <f>'[3]TWIA 4 Premium Trend'!$F22</f>
        <v>75601</v>
      </c>
      <c r="D18" s="177">
        <f>'[3]TWIA 4 Premium Trend'!$E22</f>
        <v>90742856</v>
      </c>
      <c r="E18" s="159">
        <f>'[4]3.2 premium trend'!$E22</f>
        <v>1.3400956406250004</v>
      </c>
      <c r="F18" s="290">
        <f t="shared" si="4"/>
        <v>121604105.74346216</v>
      </c>
      <c r="G18" s="281">
        <f t="shared" si="5"/>
        <v>1608.4986408045154</v>
      </c>
      <c r="H18" s="314">
        <f>IFERROR(SUM(F15:F18)/SUM(C15:C18),0)</f>
        <v>1616.0005198109816</v>
      </c>
      <c r="I18" s="271">
        <f t="shared" ref="I18:I52" si="6">GROWTH($H$17:$H$52,$O$17:$O$52,$O18,1)</f>
        <v>1609.4170933742987</v>
      </c>
      <c r="J18" s="272"/>
      <c r="K18" s="272"/>
      <c r="L18" s="272"/>
      <c r="M18" s="2"/>
      <c r="N18" s="171">
        <f t="shared" si="2"/>
        <v>40724</v>
      </c>
      <c r="O18" s="172">
        <f t="shared" si="3"/>
        <v>2011.5</v>
      </c>
      <c r="Q18" s="317"/>
    </row>
    <row r="19" spans="1:18" x14ac:dyDescent="0.2">
      <c r="A19" s="73" t="str">
        <f t="shared" si="1"/>
        <v>2011 / 3</v>
      </c>
      <c r="C19" s="259">
        <f>'[3]TWIA 4 Premium Trend'!$F23</f>
        <v>82435</v>
      </c>
      <c r="D19" s="177">
        <f>'[3]TWIA 4 Premium Trend'!$E23</f>
        <v>99110457</v>
      </c>
      <c r="E19" s="159">
        <f>'[4]3.2 premium trend'!$E23</f>
        <v>1.3400956406250004</v>
      </c>
      <c r="F19" s="290">
        <f t="shared" si="4"/>
        <v>132817491.36605155</v>
      </c>
      <c r="G19" s="281">
        <f t="shared" si="5"/>
        <v>1611.1783995396561</v>
      </c>
      <c r="H19" s="314">
        <f t="shared" ref="H19:H52" si="7">IFERROR(SUM(F16:F19)/SUM(C16:C19),0)</f>
        <v>1614.7512311125679</v>
      </c>
      <c r="I19" s="271">
        <f t="shared" si="6"/>
        <v>1611.1015353231867</v>
      </c>
      <c r="J19" s="270"/>
      <c r="K19" s="270"/>
      <c r="L19" s="270"/>
      <c r="M19" s="2"/>
      <c r="N19" s="171">
        <f t="shared" si="2"/>
        <v>40816</v>
      </c>
      <c r="O19" s="172">
        <f t="shared" si="3"/>
        <v>2011.75</v>
      </c>
      <c r="P19" s="239"/>
      <c r="Q19" s="317"/>
    </row>
    <row r="20" spans="1:18" x14ac:dyDescent="0.2">
      <c r="A20" s="73" t="str">
        <f t="shared" si="1"/>
        <v>2011 / 4</v>
      </c>
      <c r="C20" s="259">
        <f>'[3]TWIA 4 Premium Trend'!$F24</f>
        <v>54497</v>
      </c>
      <c r="D20" s="177">
        <f>'[3]TWIA 4 Premium Trend'!$E24</f>
        <v>66729933</v>
      </c>
      <c r="E20" s="159">
        <f>'[4]3.2 premium trend'!$E24</f>
        <v>1.3400956406250004</v>
      </c>
      <c r="F20" s="290">
        <f t="shared" si="4"/>
        <v>89424492.312498361</v>
      </c>
      <c r="G20" s="281">
        <f t="shared" si="5"/>
        <v>1640.9066978457229</v>
      </c>
      <c r="H20" s="314">
        <f t="shared" si="7"/>
        <v>1617.1277598735105</v>
      </c>
      <c r="I20" s="271">
        <f t="shared" si="6"/>
        <v>1612.7877402362471</v>
      </c>
      <c r="J20" s="273"/>
      <c r="K20" s="273"/>
      <c r="L20" s="273"/>
      <c r="M20" s="2"/>
      <c r="N20" s="171">
        <f t="shared" si="2"/>
        <v>40908</v>
      </c>
      <c r="O20" s="172">
        <f t="shared" si="3"/>
        <v>2012</v>
      </c>
      <c r="P20" s="239"/>
      <c r="Q20" s="317"/>
    </row>
    <row r="21" spans="1:18" x14ac:dyDescent="0.2">
      <c r="A21" s="73" t="str">
        <f t="shared" si="1"/>
        <v>2012 / 1</v>
      </c>
      <c r="B21"/>
      <c r="C21" s="259">
        <f>'[3]TWIA 4 Premium Trend'!$F25</f>
        <v>54769</v>
      </c>
      <c r="D21" s="177">
        <f>'[3]TWIA 4 Premium Trend'!$E25</f>
        <v>68658174</v>
      </c>
      <c r="E21" s="159">
        <f>'[4]3.2 premium trend'!$E25</f>
        <v>1.2762815625000004</v>
      </c>
      <c r="F21" s="290">
        <f t="shared" si="4"/>
        <v>87627161.591116905</v>
      </c>
      <c r="G21" s="281">
        <f t="shared" si="5"/>
        <v>1599.9408714987842</v>
      </c>
      <c r="H21" s="314">
        <f t="shared" si="7"/>
        <v>1614.1789100460489</v>
      </c>
      <c r="I21" s="271">
        <f t="shared" si="6"/>
        <v>1614.47570995863</v>
      </c>
      <c r="J21" s="273"/>
      <c r="K21" s="273"/>
      <c r="L21" s="273"/>
      <c r="M21" s="2"/>
      <c r="N21" s="171">
        <f t="shared" si="2"/>
        <v>40999</v>
      </c>
      <c r="O21" s="172">
        <f t="shared" si="3"/>
        <v>2012.25</v>
      </c>
      <c r="P21" s="239"/>
      <c r="Q21" s="317"/>
    </row>
    <row r="22" spans="1:18" x14ac:dyDescent="0.2">
      <c r="A22" s="73" t="str">
        <f t="shared" si="1"/>
        <v>2012 / 2</v>
      </c>
      <c r="B22" s="25"/>
      <c r="C22" s="259">
        <f>'[3]TWIA 4 Premium Trend'!$F26</f>
        <v>77155</v>
      </c>
      <c r="D22" s="177">
        <f>'[3]TWIA 4 Premium Trend'!$E26</f>
        <v>96214511</v>
      </c>
      <c r="E22" s="159">
        <f>'[4]3.2 premium trend'!$E26</f>
        <v>1.2762815625000004</v>
      </c>
      <c r="F22" s="290">
        <f t="shared" si="4"/>
        <v>122796806.43425347</v>
      </c>
      <c r="G22" s="281">
        <f t="shared" si="5"/>
        <v>1591.5599304549733</v>
      </c>
      <c r="H22" s="314">
        <f t="shared" si="7"/>
        <v>1609.2850883146377</v>
      </c>
      <c r="I22" s="271">
        <f t="shared" si="6"/>
        <v>1616.1654463374134</v>
      </c>
      <c r="J22" s="273"/>
      <c r="K22" s="273"/>
      <c r="L22" s="273"/>
      <c r="M22" s="2"/>
      <c r="N22" s="171">
        <f t="shared" si="2"/>
        <v>41090</v>
      </c>
      <c r="O22" s="172">
        <f t="shared" si="3"/>
        <v>2012.5</v>
      </c>
      <c r="P22" s="239"/>
      <c r="Q22" s="317"/>
    </row>
    <row r="23" spans="1:18" x14ac:dyDescent="0.2">
      <c r="A23" s="73" t="str">
        <f t="shared" si="1"/>
        <v>2012 / 3</v>
      </c>
      <c r="B23" s="25"/>
      <c r="C23" s="259">
        <f>'[3]TWIA 4 Premium Trend'!$F27</f>
        <v>89431</v>
      </c>
      <c r="D23" s="177">
        <f>'[3]TWIA 4 Premium Trend'!$E27</f>
        <v>112131482</v>
      </c>
      <c r="E23" s="159">
        <f>'[4]3.2 premium trend'!$E27</f>
        <v>1.2762815625000004</v>
      </c>
      <c r="F23" s="290">
        <f t="shared" si="4"/>
        <v>143111343.05240068</v>
      </c>
      <c r="G23" s="281">
        <f t="shared" si="5"/>
        <v>1600.2431265713308</v>
      </c>
      <c r="H23" s="314">
        <f t="shared" si="7"/>
        <v>1605.7878985480236</v>
      </c>
      <c r="I23" s="271">
        <f t="shared" si="6"/>
        <v>1617.8569512216111</v>
      </c>
      <c r="J23" s="273"/>
      <c r="K23" s="273"/>
      <c r="L23" s="273"/>
      <c r="M23" s="2"/>
      <c r="N23" s="171">
        <f t="shared" si="2"/>
        <v>41182</v>
      </c>
      <c r="O23" s="172">
        <f t="shared" si="3"/>
        <v>2012.75</v>
      </c>
      <c r="P23" s="240"/>
      <c r="Q23" s="317"/>
    </row>
    <row r="24" spans="1:18" x14ac:dyDescent="0.2">
      <c r="A24" s="73" t="str">
        <f t="shared" si="1"/>
        <v>2012 / 4</v>
      </c>
      <c r="B24" s="25"/>
      <c r="C24" s="259">
        <f>'[3]TWIA 4 Premium Trend'!$F28</f>
        <v>54952</v>
      </c>
      <c r="D24" s="177">
        <f>'[3]TWIA 4 Premium Trend'!$E28</f>
        <v>70018382</v>
      </c>
      <c r="E24" s="159">
        <f>'[4]3.2 premium trend'!$E28</f>
        <v>1.2762815625000004</v>
      </c>
      <c r="F24" s="290">
        <f t="shared" si="4"/>
        <v>89363169.9826819</v>
      </c>
      <c r="G24" s="281">
        <f t="shared" si="5"/>
        <v>1626.2041414813273</v>
      </c>
      <c r="H24" s="314">
        <f t="shared" si="7"/>
        <v>1602.9216815370328</v>
      </c>
      <c r="I24" s="271">
        <f t="shared" si="6"/>
        <v>1619.5502264621639</v>
      </c>
      <c r="J24" s="273"/>
      <c r="K24" s="273"/>
      <c r="L24" s="273"/>
      <c r="M24" s="2"/>
      <c r="N24" s="171">
        <f t="shared" si="2"/>
        <v>41274</v>
      </c>
      <c r="O24" s="172">
        <f t="shared" si="3"/>
        <v>2013</v>
      </c>
      <c r="P24" s="240"/>
      <c r="Q24" s="317"/>
    </row>
    <row r="25" spans="1:18" x14ac:dyDescent="0.2">
      <c r="A25" s="73" t="str">
        <f t="shared" si="1"/>
        <v>2013 / 1</v>
      </c>
      <c r="B25" s="25"/>
      <c r="C25" s="259">
        <f>'[3]TWIA 4 Premium Trend'!$F29</f>
        <v>54742</v>
      </c>
      <c r="D25" s="177">
        <f>'[3]TWIA 4 Premium Trend'!$E29</f>
        <v>71740155</v>
      </c>
      <c r="E25" s="159">
        <f>'[4]3.2 premium trend'!$E29</f>
        <v>1.2155062500000002</v>
      </c>
      <c r="F25" s="290">
        <f t="shared" si="4"/>
        <v>87200606.778468773</v>
      </c>
      <c r="G25" s="281">
        <f t="shared" si="5"/>
        <v>1592.9379046886993</v>
      </c>
      <c r="H25" s="314">
        <f>IFERROR(SUM(F22:F25)/SUM(C22:C25),0)</f>
        <v>1601.5344080201419</v>
      </c>
      <c r="I25" s="271">
        <f t="shared" si="6"/>
        <v>1621.2452739119578</v>
      </c>
      <c r="J25" s="271"/>
      <c r="K25" s="271"/>
      <c r="L25" s="271"/>
      <c r="M25" s="2"/>
      <c r="N25" s="171">
        <f t="shared" si="2"/>
        <v>41364</v>
      </c>
      <c r="O25" s="172">
        <f t="shared" si="3"/>
        <v>2013.25</v>
      </c>
      <c r="P25" s="240"/>
      <c r="Q25" s="317"/>
    </row>
    <row r="26" spans="1:18" x14ac:dyDescent="0.2">
      <c r="A26" s="73" t="str">
        <f t="shared" si="1"/>
        <v>2013 / 2</v>
      </c>
      <c r="B26" s="25"/>
      <c r="C26" s="259">
        <f>'[3]TWIA 4 Premium Trend'!$F30</f>
        <v>82182</v>
      </c>
      <c r="D26" s="177">
        <f>'[3]TWIA 4 Premium Trend'!$E30</f>
        <v>108632729</v>
      </c>
      <c r="E26" s="159">
        <f>'[4]3.2 premium trend'!$E30</f>
        <v>1.2155062500000002</v>
      </c>
      <c r="F26" s="290">
        <f t="shared" si="4"/>
        <v>132043761.05405627</v>
      </c>
      <c r="G26" s="281">
        <f t="shared" si="5"/>
        <v>1606.7236262692106</v>
      </c>
      <c r="H26" s="314">
        <f t="shared" si="7"/>
        <v>1605.786137094376</v>
      </c>
      <c r="I26" s="271">
        <f t="shared" si="6"/>
        <v>1622.942095425816</v>
      </c>
      <c r="J26" s="271"/>
      <c r="K26" s="271"/>
      <c r="L26" s="271"/>
      <c r="M26" s="2"/>
      <c r="N26" s="171">
        <f t="shared" si="2"/>
        <v>41455</v>
      </c>
      <c r="O26" s="172">
        <f t="shared" si="3"/>
        <v>2013.5</v>
      </c>
      <c r="P26" s="240"/>
      <c r="Q26" s="317"/>
    </row>
    <row r="27" spans="1:18" x14ac:dyDescent="0.2">
      <c r="A27" s="73" t="str">
        <f t="shared" si="1"/>
        <v>2013 / 3</v>
      </c>
      <c r="B27" s="25"/>
      <c r="C27" s="259">
        <f>'[3]TWIA 4 Premium Trend'!$F31</f>
        <v>83114</v>
      </c>
      <c r="D27" s="177">
        <f>'[3]TWIA 4 Premium Trend'!$E31</f>
        <v>111540208</v>
      </c>
      <c r="E27" s="159">
        <f>'[4]3.2 premium trend'!$E31</f>
        <v>1.2155062500000002</v>
      </c>
      <c r="F27" s="290">
        <f t="shared" si="4"/>
        <v>135577819.95030004</v>
      </c>
      <c r="G27" s="281">
        <f t="shared" si="5"/>
        <v>1631.2272294715697</v>
      </c>
      <c r="H27" s="314">
        <f t="shared" si="7"/>
        <v>1615.2782201734863</v>
      </c>
      <c r="I27" s="271">
        <f t="shared" si="6"/>
        <v>1624.6406928605027</v>
      </c>
      <c r="J27" s="271"/>
      <c r="K27" s="271"/>
      <c r="L27" s="271"/>
      <c r="M27" s="2"/>
      <c r="N27" s="171">
        <f t="shared" si="2"/>
        <v>41547</v>
      </c>
      <c r="O27" s="172">
        <f t="shared" si="3"/>
        <v>2013.75</v>
      </c>
      <c r="P27" s="240"/>
      <c r="Q27" s="317"/>
    </row>
    <row r="28" spans="1:18" x14ac:dyDescent="0.2">
      <c r="A28" s="73" t="str">
        <f t="shared" si="1"/>
        <v>2013 / 4</v>
      </c>
      <c r="B28" s="25"/>
      <c r="C28" s="259">
        <f>'[3]TWIA 4 Premium Trend'!$F32</f>
        <v>60544</v>
      </c>
      <c r="D28" s="177">
        <f>'[3]TWIA 4 Premium Trend'!$E32</f>
        <v>81734680</v>
      </c>
      <c r="E28" s="159">
        <f>'[4]3.2 premium trend'!$E32</f>
        <v>1.2155062500000002</v>
      </c>
      <c r="F28" s="290">
        <f t="shared" si="4"/>
        <v>99349014.381750017</v>
      </c>
      <c r="G28" s="281">
        <f t="shared" si="5"/>
        <v>1640.939058895184</v>
      </c>
      <c r="H28" s="314">
        <f>IFERROR(SUM(F25:F28)/SUM(C25:C28),0)</f>
        <v>1618.6754751358787</v>
      </c>
      <c r="I28" s="271">
        <f>GROWTH($H$17:$H$52,$O$17:$O$52,$O28,1)</f>
        <v>1626.3410680747284</v>
      </c>
      <c r="J28" s="271"/>
      <c r="K28" s="271"/>
      <c r="L28" s="271"/>
      <c r="M28" s="2"/>
      <c r="N28" s="171">
        <f t="shared" si="2"/>
        <v>41639</v>
      </c>
      <c r="O28" s="172">
        <f t="shared" si="3"/>
        <v>2014</v>
      </c>
      <c r="P28" s="240"/>
      <c r="Q28" s="317"/>
    </row>
    <row r="29" spans="1:18" x14ac:dyDescent="0.2">
      <c r="A29" s="73" t="str">
        <f t="shared" si="1"/>
        <v>2014 / 1</v>
      </c>
      <c r="B29" s="25"/>
      <c r="C29" s="259">
        <f>'[3]TWIA 4 Premium Trend'!$F33</f>
        <v>55592</v>
      </c>
      <c r="D29" s="177">
        <f>'[3]TWIA 4 Premium Trend'!$E33</f>
        <v>77867785</v>
      </c>
      <c r="E29" s="159">
        <f>'[4]3.2 premium trend'!$E33</f>
        <v>1.1576250000000001</v>
      </c>
      <c r="F29" s="290">
        <f t="shared" si="4"/>
        <v>90141694.610625014</v>
      </c>
      <c r="G29" s="281">
        <f t="shared" si="5"/>
        <v>1621.4868076454347</v>
      </c>
      <c r="H29" s="314">
        <f t="shared" si="7"/>
        <v>1624.2370803488282</v>
      </c>
      <c r="I29" s="271">
        <f t="shared" si="6"/>
        <v>1628.0432229291396</v>
      </c>
      <c r="J29" s="271"/>
      <c r="K29" s="271"/>
      <c r="L29" s="271"/>
      <c r="M29" s="2"/>
      <c r="N29" s="171">
        <f t="shared" si="2"/>
        <v>41729</v>
      </c>
      <c r="O29" s="172">
        <f t="shared" si="3"/>
        <v>2014.25</v>
      </c>
      <c r="P29" s="240"/>
      <c r="Q29" s="317"/>
      <c r="R29" s="240"/>
    </row>
    <row r="30" spans="1:18" x14ac:dyDescent="0.2">
      <c r="A30" s="73" t="str">
        <f t="shared" si="1"/>
        <v>2014 / 2</v>
      </c>
      <c r="B30" s="25"/>
      <c r="C30" s="259">
        <f>'[3]TWIA 4 Premium Trend'!$F34</f>
        <v>79155</v>
      </c>
      <c r="D30" s="177">
        <f>'[3]TWIA 4 Premium Trend'!$E34</f>
        <v>111616003</v>
      </c>
      <c r="E30" s="159">
        <f>'[4]3.2 premium trend'!$E34</f>
        <v>1.1576250000000001</v>
      </c>
      <c r="F30" s="290">
        <f t="shared" si="4"/>
        <v>129209475.47287501</v>
      </c>
      <c r="G30" s="281">
        <f t="shared" si="5"/>
        <v>1632.3602485361002</v>
      </c>
      <c r="H30" s="314">
        <f t="shared" si="7"/>
        <v>1631.7164002641837</v>
      </c>
      <c r="I30" s="271">
        <f t="shared" si="6"/>
        <v>1629.7471592863396</v>
      </c>
      <c r="J30" s="271"/>
      <c r="K30" s="271"/>
      <c r="L30" s="271"/>
      <c r="M30" s="2"/>
      <c r="N30" s="171">
        <f t="shared" si="2"/>
        <v>41820</v>
      </c>
      <c r="O30" s="172">
        <f t="shared" si="3"/>
        <v>2014.5</v>
      </c>
      <c r="P30" s="240"/>
      <c r="Q30" s="317"/>
      <c r="R30" s="240"/>
    </row>
    <row r="31" spans="1:18" x14ac:dyDescent="0.2">
      <c r="A31" s="73" t="str">
        <f t="shared" si="1"/>
        <v>2014 / 3</v>
      </c>
      <c r="B31" s="51"/>
      <c r="C31" s="259">
        <f>'[3]TWIA 4 Premium Trend'!$F35</f>
        <v>89874</v>
      </c>
      <c r="D31" s="177">
        <f>'[3]TWIA 4 Premium Trend'!$E35</f>
        <v>128096479</v>
      </c>
      <c r="E31" s="159">
        <f>'[4]3.2 premium trend'!$E35</f>
        <v>1.1576250000000001</v>
      </c>
      <c r="F31" s="290">
        <f t="shared" si="4"/>
        <v>148287686.50237501</v>
      </c>
      <c r="G31" s="281">
        <f t="shared" si="5"/>
        <v>1649.9508923868416</v>
      </c>
      <c r="H31" s="314">
        <f t="shared" si="7"/>
        <v>1637.6058456249013</v>
      </c>
      <c r="I31" s="271">
        <f t="shared" si="6"/>
        <v>1631.4528790108782</v>
      </c>
      <c r="J31" s="271"/>
      <c r="K31" s="271"/>
      <c r="L31" s="271"/>
      <c r="M31" s="2"/>
      <c r="N31" s="171">
        <f t="shared" si="2"/>
        <v>41912</v>
      </c>
      <c r="O31" s="172">
        <f t="shared" si="3"/>
        <v>2014.75</v>
      </c>
      <c r="P31" s="240"/>
      <c r="Q31" s="317"/>
      <c r="R31" s="240"/>
    </row>
    <row r="32" spans="1:18" x14ac:dyDescent="0.2">
      <c r="A32" s="73" t="str">
        <f t="shared" si="1"/>
        <v>2014 / 4</v>
      </c>
      <c r="B32" s="50"/>
      <c r="C32" s="259">
        <f>'[3]TWIA 4 Premium Trend'!$F36</f>
        <v>60646</v>
      </c>
      <c r="D32" s="177">
        <f>'[3]TWIA 4 Premium Trend'!$E36</f>
        <v>86711448</v>
      </c>
      <c r="E32" s="159">
        <f>'[4]3.2 premium trend'!$E36</f>
        <v>1.1576250000000001</v>
      </c>
      <c r="F32" s="290">
        <f t="shared" si="4"/>
        <v>100379339.99100001</v>
      </c>
      <c r="G32" s="281">
        <f t="shared" si="5"/>
        <v>1655.168353906276</v>
      </c>
      <c r="H32" s="314">
        <f t="shared" si="7"/>
        <v>1640.632097567805</v>
      </c>
      <c r="I32" s="271">
        <f t="shared" si="6"/>
        <v>1633.1603839692564</v>
      </c>
      <c r="J32" s="271"/>
      <c r="K32" s="271"/>
      <c r="L32" s="271"/>
      <c r="M32" s="2"/>
      <c r="N32" s="171">
        <f t="shared" si="2"/>
        <v>42004</v>
      </c>
      <c r="O32" s="172">
        <f t="shared" si="3"/>
        <v>2015</v>
      </c>
      <c r="P32" s="240"/>
      <c r="Q32" s="317"/>
      <c r="R32" s="240"/>
    </row>
    <row r="33" spans="1:18" x14ac:dyDescent="0.2">
      <c r="A33" s="73" t="str">
        <f t="shared" si="1"/>
        <v>2015 / 1</v>
      </c>
      <c r="B33" s="50"/>
      <c r="C33" s="259">
        <f>'[3]TWIA 4 Premium Trend'!$F37</f>
        <v>57651</v>
      </c>
      <c r="D33" s="177">
        <f>'[3]TWIA 4 Premium Trend'!$E37</f>
        <v>85327979</v>
      </c>
      <c r="E33" s="159">
        <f>'[4]3.2 premium trend'!$E37</f>
        <v>1.1025</v>
      </c>
      <c r="F33" s="290">
        <f t="shared" si="4"/>
        <v>94074096.847499996</v>
      </c>
      <c r="G33" s="281">
        <f t="shared" si="5"/>
        <v>1631.7860374928448</v>
      </c>
      <c r="H33" s="314">
        <f t="shared" si="7"/>
        <v>1642.5614069515116</v>
      </c>
      <c r="I33" s="271">
        <f t="shared" si="6"/>
        <v>1634.8696760299315</v>
      </c>
      <c r="J33" s="271">
        <f>GROWTH($H$33:$H$52,$O$33:$O$52,$O33,1)</f>
        <v>1650.4731700656787</v>
      </c>
      <c r="K33" s="271"/>
      <c r="L33" s="271"/>
      <c r="M33" s="2"/>
      <c r="N33" s="171">
        <f t="shared" si="2"/>
        <v>42094</v>
      </c>
      <c r="O33" s="172">
        <f t="shared" si="3"/>
        <v>2015.25</v>
      </c>
      <c r="P33" s="240"/>
      <c r="Q33" s="317"/>
      <c r="R33" s="240"/>
    </row>
    <row r="34" spans="1:18" x14ac:dyDescent="0.2">
      <c r="A34" s="73" t="str">
        <f t="shared" si="1"/>
        <v>2015 / 2</v>
      </c>
      <c r="B34" s="173"/>
      <c r="C34" s="259">
        <f>'[3]TWIA 4 Premium Trend'!$F38</f>
        <v>82158</v>
      </c>
      <c r="D34" s="177">
        <f>'[3]TWIA 4 Premium Trend'!$E38</f>
        <v>122581230</v>
      </c>
      <c r="E34" s="159">
        <f>'[4]3.2 premium trend'!$E38</f>
        <v>1.1025</v>
      </c>
      <c r="F34" s="290">
        <f t="shared" si="4"/>
        <v>135145806.07500002</v>
      </c>
      <c r="G34" s="281">
        <f t="shared" si="5"/>
        <v>1644.9500483823854</v>
      </c>
      <c r="H34" s="314">
        <f t="shared" si="7"/>
        <v>1646.0185837993279</v>
      </c>
      <c r="I34" s="271">
        <f t="shared" si="6"/>
        <v>1636.5807570633081</v>
      </c>
      <c r="J34" s="271">
        <f t="shared" ref="J34:J52" si="8">GROWTH($H$33:$H$52,$O$33:$O$52,$O34,1)</f>
        <v>1650.8435772993744</v>
      </c>
      <c r="K34" s="271"/>
      <c r="L34" s="271"/>
      <c r="M34" s="2"/>
      <c r="N34" s="171">
        <f t="shared" si="2"/>
        <v>42185</v>
      </c>
      <c r="O34" s="172">
        <f t="shared" si="3"/>
        <v>2015.5</v>
      </c>
      <c r="P34" s="240"/>
      <c r="Q34" s="317"/>
      <c r="R34" s="240"/>
    </row>
    <row r="35" spans="1:18" x14ac:dyDescent="0.2">
      <c r="A35" s="73" t="str">
        <f t="shared" si="1"/>
        <v>2015 / 3</v>
      </c>
      <c r="B35" s="173"/>
      <c r="C35" s="259">
        <f>'[3]TWIA 4 Premium Trend'!$F39</f>
        <v>84402</v>
      </c>
      <c r="D35" s="177">
        <f>'[3]TWIA 4 Premium Trend'!$E39</f>
        <v>127421809</v>
      </c>
      <c r="E35" s="159">
        <f>'[4]3.2 premium trend'!$E39</f>
        <v>1.1025</v>
      </c>
      <c r="F35" s="290">
        <f t="shared" si="4"/>
        <v>140482544.42250001</v>
      </c>
      <c r="G35" s="281">
        <f t="shared" si="5"/>
        <v>1664.4456816485392</v>
      </c>
      <c r="H35" s="314">
        <f>IFERROR(SUM(F32:F35)/SUM(C32:C35),0)</f>
        <v>1650.2377941774296</v>
      </c>
      <c r="I35" s="271">
        <f t="shared" si="6"/>
        <v>1638.2936289417569</v>
      </c>
      <c r="J35" s="271">
        <f t="shared" si="8"/>
        <v>1651.2140676616668</v>
      </c>
      <c r="K35" s="271"/>
      <c r="L35" s="271"/>
      <c r="M35" s="2"/>
      <c r="N35" s="171">
        <f t="shared" si="2"/>
        <v>42277</v>
      </c>
      <c r="O35" s="172">
        <f t="shared" si="3"/>
        <v>2015.75</v>
      </c>
      <c r="P35" s="240"/>
      <c r="Q35" s="317"/>
      <c r="R35" s="240"/>
    </row>
    <row r="36" spans="1:18" x14ac:dyDescent="0.2">
      <c r="A36" s="73" t="str">
        <f t="shared" si="1"/>
        <v>2015 / 4</v>
      </c>
      <c r="B36" s="50"/>
      <c r="C36" s="259">
        <f>'[3]TWIA 4 Premium Trend'!$F40</f>
        <v>57308</v>
      </c>
      <c r="D36" s="177">
        <f>'[3]TWIA 4 Premium Trend'!$E40</f>
        <v>87342988</v>
      </c>
      <c r="E36" s="159">
        <f>'[4]3.2 premium trend'!$E40</f>
        <v>1.1025</v>
      </c>
      <c r="F36" s="290">
        <f t="shared" si="4"/>
        <v>96295644.269999996</v>
      </c>
      <c r="G36" s="281">
        <f t="shared" si="5"/>
        <v>1680.3176566971451</v>
      </c>
      <c r="H36" s="314">
        <f t="shared" si="7"/>
        <v>1655.2989020812095</v>
      </c>
      <c r="I36" s="271">
        <f t="shared" si="6"/>
        <v>1640.0082935396049</v>
      </c>
      <c r="J36" s="271">
        <f t="shared" si="8"/>
        <v>1651.5846411712128</v>
      </c>
      <c r="K36" s="271"/>
      <c r="L36" s="271"/>
      <c r="M36" s="2"/>
      <c r="N36" s="171">
        <f t="shared" si="2"/>
        <v>42369</v>
      </c>
      <c r="O36" s="172">
        <f t="shared" si="3"/>
        <v>2016</v>
      </c>
      <c r="P36" s="240"/>
      <c r="Q36" s="317"/>
      <c r="R36" s="240"/>
    </row>
    <row r="37" spans="1:18" x14ac:dyDescent="0.2">
      <c r="A37" s="73" t="str">
        <f t="shared" si="1"/>
        <v>2016 / 1</v>
      </c>
      <c r="B37" s="50"/>
      <c r="C37" s="259">
        <f>'[3]TWIA 4 Premium Trend'!$F41</f>
        <v>54113</v>
      </c>
      <c r="D37" s="177">
        <f>'[3]TWIA 4 Premium Trend'!$E41</f>
        <v>84557230</v>
      </c>
      <c r="E37" s="159">
        <f>'[4]3.2 premium trend'!$E41</f>
        <v>1.05</v>
      </c>
      <c r="F37" s="290">
        <f t="shared" si="4"/>
        <v>88785091.5</v>
      </c>
      <c r="G37" s="281">
        <f t="shared" si="5"/>
        <v>1640.7349712638368</v>
      </c>
      <c r="H37" s="314">
        <f t="shared" si="7"/>
        <v>1657.3402004723346</v>
      </c>
      <c r="I37" s="271">
        <f t="shared" si="6"/>
        <v>1641.7247527331444</v>
      </c>
      <c r="J37" s="271">
        <f t="shared" si="8"/>
        <v>1651.9552978466713</v>
      </c>
      <c r="K37" s="271">
        <f>GROWTH($H$37:$H$52,$O$37:$O$52,$O37,1)</f>
        <v>1655.2285379433119</v>
      </c>
      <c r="L37" s="271"/>
      <c r="M37" s="2"/>
      <c r="N37" s="171">
        <f t="shared" si="2"/>
        <v>42460</v>
      </c>
      <c r="O37" s="172">
        <f t="shared" si="3"/>
        <v>2016.25</v>
      </c>
      <c r="P37" s="240"/>
      <c r="Q37" s="317"/>
      <c r="R37" s="240"/>
    </row>
    <row r="38" spans="1:18" x14ac:dyDescent="0.2">
      <c r="A38" s="73" t="str">
        <f t="shared" si="1"/>
        <v>2016 / 2</v>
      </c>
      <c r="B38" s="50"/>
      <c r="C38" s="259">
        <f>'[3]TWIA 4 Premium Trend'!$F42</f>
        <v>79991</v>
      </c>
      <c r="D38" s="177">
        <f>'[3]TWIA 4 Premium Trend'!$E42</f>
        <v>125845764</v>
      </c>
      <c r="E38" s="159">
        <f>'[4]3.2 premium trend'!$E42</f>
        <v>1.05</v>
      </c>
      <c r="F38" s="290">
        <f t="shared" si="4"/>
        <v>132138052.2</v>
      </c>
      <c r="G38" s="281">
        <f t="shared" si="5"/>
        <v>1651.9114925429112</v>
      </c>
      <c r="H38" s="314">
        <f t="shared" si="7"/>
        <v>1659.4564902162326</v>
      </c>
      <c r="I38" s="271">
        <f t="shared" si="6"/>
        <v>1643.4430084006228</v>
      </c>
      <c r="J38" s="271">
        <f t="shared" si="8"/>
        <v>1652.3260377067079</v>
      </c>
      <c r="K38" s="271">
        <f t="shared" ref="K38:K52" si="9">GROWTH($H$37:$H$52,$O$37:$O$52,$O38,1)</f>
        <v>1655.2469333057536</v>
      </c>
      <c r="L38" s="271"/>
      <c r="M38" s="2"/>
      <c r="N38" s="171">
        <f t="shared" si="2"/>
        <v>42551</v>
      </c>
      <c r="O38" s="172">
        <f t="shared" si="3"/>
        <v>2016.5</v>
      </c>
      <c r="P38" s="240"/>
      <c r="Q38" s="317"/>
      <c r="R38" s="240"/>
    </row>
    <row r="39" spans="1:18" x14ac:dyDescent="0.2">
      <c r="A39" s="73" t="str">
        <f t="shared" si="1"/>
        <v>2016 / 3</v>
      </c>
      <c r="B39" s="102"/>
      <c r="C39" s="259">
        <f>'[3]TWIA 4 Premium Trend'!$F43</f>
        <v>77932</v>
      </c>
      <c r="D39" s="177">
        <f>'[3]TWIA 4 Premium Trend'!$E43</f>
        <v>123784247</v>
      </c>
      <c r="E39" s="159">
        <f>'[4]3.2 premium trend'!$E43</f>
        <v>1.05</v>
      </c>
      <c r="F39" s="290">
        <f t="shared" si="4"/>
        <v>129973459.35000001</v>
      </c>
      <c r="G39" s="281">
        <f t="shared" si="5"/>
        <v>1667.7803642919469</v>
      </c>
      <c r="H39" s="314">
        <f t="shared" si="7"/>
        <v>1660.3015003861233</v>
      </c>
      <c r="I39" s="271">
        <f t="shared" si="6"/>
        <v>1645.1630624222607</v>
      </c>
      <c r="J39" s="271">
        <f t="shared" si="8"/>
        <v>1652.696860769991</v>
      </c>
      <c r="K39" s="271">
        <f t="shared" si="9"/>
        <v>1655.2653288726317</v>
      </c>
      <c r="L39" s="271"/>
      <c r="M39" s="2"/>
      <c r="N39" s="171">
        <f t="shared" si="2"/>
        <v>42643</v>
      </c>
      <c r="O39" s="172">
        <f t="shared" si="3"/>
        <v>2016.75</v>
      </c>
      <c r="P39" s="240"/>
      <c r="Q39" s="317"/>
      <c r="R39" s="240"/>
    </row>
    <row r="40" spans="1:18" x14ac:dyDescent="0.2">
      <c r="A40" s="73" t="str">
        <f t="shared" si="1"/>
        <v>2016 / 4</v>
      </c>
      <c r="B40" s="50"/>
      <c r="C40" s="259">
        <f>'[3]TWIA 4 Premium Trend'!$F44</f>
        <v>51030</v>
      </c>
      <c r="D40" s="177">
        <f>'[3]TWIA 4 Premium Trend'!$E44</f>
        <v>81959449</v>
      </c>
      <c r="E40" s="159">
        <f>'[4]3.2 premium trend'!$E44</f>
        <v>1.05</v>
      </c>
      <c r="F40" s="290">
        <f>D40*E40</f>
        <v>86057421.450000003</v>
      </c>
      <c r="G40" s="281">
        <f t="shared" si="5"/>
        <v>1686.4084156378601</v>
      </c>
      <c r="H40" s="314">
        <f t="shared" si="7"/>
        <v>1661.0053161564017</v>
      </c>
      <c r="I40" s="271">
        <f t="shared" si="6"/>
        <v>1646.8849166802459</v>
      </c>
      <c r="J40" s="271">
        <f t="shared" si="8"/>
        <v>1653.0677670551936</v>
      </c>
      <c r="K40" s="271">
        <f t="shared" si="9"/>
        <v>1655.2837246439492</v>
      </c>
      <c r="L40" s="271"/>
      <c r="M40" s="2"/>
      <c r="N40" s="171">
        <f t="shared" si="2"/>
        <v>42735</v>
      </c>
      <c r="O40" s="172">
        <f t="shared" si="3"/>
        <v>2017</v>
      </c>
      <c r="P40" s="240"/>
      <c r="Q40" s="317"/>
      <c r="R40" s="240"/>
    </row>
    <row r="41" spans="1:18" x14ac:dyDescent="0.2">
      <c r="A41" s="73" t="str">
        <f t="shared" si="1"/>
        <v>2017 / 1</v>
      </c>
      <c r="B41" s="51"/>
      <c r="C41" s="259">
        <f>'[3]TWIA 4 Premium Trend'!$F45</f>
        <v>50991</v>
      </c>
      <c r="D41" s="177">
        <f>'[3]TWIA 4 Premium Trend'!$E45</f>
        <v>79037984</v>
      </c>
      <c r="E41" s="159">
        <f>'[4]3.2 premium trend'!$E45</f>
        <v>1.05</v>
      </c>
      <c r="F41" s="290">
        <f t="shared" si="4"/>
        <v>82989883.200000003</v>
      </c>
      <c r="G41" s="281">
        <f t="shared" si="5"/>
        <v>1627.5398246749428</v>
      </c>
      <c r="H41" s="314">
        <f t="shared" si="7"/>
        <v>1658.6603891607422</v>
      </c>
      <c r="I41" s="271">
        <f t="shared" si="6"/>
        <v>1648.6085730587338</v>
      </c>
      <c r="J41" s="271">
        <f t="shared" si="8"/>
        <v>1653.4387565809923</v>
      </c>
      <c r="K41" s="271">
        <f t="shared" si="9"/>
        <v>1655.3021206197075</v>
      </c>
      <c r="L41" s="271">
        <f>GROWTH($H$41:$H$52,$O$41:$O$52,$O41,1)</f>
        <v>1648.8692594973311</v>
      </c>
      <c r="M41" s="2"/>
      <c r="N41" s="171">
        <f t="shared" si="2"/>
        <v>42825</v>
      </c>
      <c r="O41" s="172">
        <f t="shared" si="3"/>
        <v>2017.25</v>
      </c>
      <c r="P41" s="240"/>
      <c r="Q41" s="317"/>
      <c r="R41" s="240"/>
    </row>
    <row r="42" spans="1:18" x14ac:dyDescent="0.2">
      <c r="A42" s="73" t="str">
        <f t="shared" si="1"/>
        <v>2017 / 2</v>
      </c>
      <c r="B42" s="51"/>
      <c r="C42" s="259">
        <f>'[3]TWIA 4 Premium Trend'!$F46</f>
        <v>73614</v>
      </c>
      <c r="D42" s="177">
        <f>'[3]TWIA 4 Premium Trend'!$E46</f>
        <v>114547681</v>
      </c>
      <c r="E42" s="159">
        <f>'[4]3.2 premium trend'!$E46</f>
        <v>1.05</v>
      </c>
      <c r="F42" s="290">
        <f t="shared" si="4"/>
        <v>120275065.05000001</v>
      </c>
      <c r="G42" s="281">
        <f t="shared" si="5"/>
        <v>1633.8612906512351</v>
      </c>
      <c r="H42" s="314">
        <f t="shared" si="7"/>
        <v>1653.5898955700072</v>
      </c>
      <c r="I42" s="271">
        <f t="shared" si="6"/>
        <v>1650.334033443856</v>
      </c>
      <c r="J42" s="271">
        <f t="shared" si="8"/>
        <v>1653.8098293660689</v>
      </c>
      <c r="K42" s="271">
        <f t="shared" si="9"/>
        <v>1655.3205167999097</v>
      </c>
      <c r="L42" s="271">
        <f t="shared" ref="L42:L52" si="10">GROWTH($H$41:$H$52,$O$41:$O$52,$O42,1)</f>
        <v>1649.7977731688691</v>
      </c>
      <c r="M42" s="2"/>
      <c r="N42" s="171">
        <f t="shared" si="2"/>
        <v>42916</v>
      </c>
      <c r="O42" s="172">
        <f t="shared" si="3"/>
        <v>2017.5</v>
      </c>
      <c r="P42" s="240"/>
      <c r="Q42" s="317"/>
      <c r="R42" s="240"/>
    </row>
    <row r="43" spans="1:18" x14ac:dyDescent="0.2">
      <c r="A43" s="73" t="str">
        <f t="shared" si="1"/>
        <v>2017 / 3</v>
      </c>
      <c r="B43" s="51"/>
      <c r="C43" s="259">
        <f>'[3]TWIA 4 Premium Trend'!$F47</f>
        <v>68864</v>
      </c>
      <c r="D43" s="177">
        <f>'[3]TWIA 4 Premium Trend'!$E47</f>
        <v>108614623</v>
      </c>
      <c r="E43" s="159">
        <f>'[4]3.2 premium trend'!$E47</f>
        <v>1.05</v>
      </c>
      <c r="F43" s="290">
        <f t="shared" si="4"/>
        <v>114045354.15000001</v>
      </c>
      <c r="G43" s="281">
        <f t="shared" si="5"/>
        <v>1656.0954076150094</v>
      </c>
      <c r="H43" s="314">
        <f t="shared" si="7"/>
        <v>1649.7724892535348</v>
      </c>
      <c r="I43" s="271">
        <f t="shared" si="6"/>
        <v>1652.0612997237099</v>
      </c>
      <c r="J43" s="271">
        <f t="shared" si="8"/>
        <v>1654.1809854291089</v>
      </c>
      <c r="K43" s="271">
        <f t="shared" si="9"/>
        <v>1655.3389131845572</v>
      </c>
      <c r="L43" s="271">
        <f t="shared" si="10"/>
        <v>1650.7268097063852</v>
      </c>
      <c r="M43" s="2"/>
      <c r="N43" s="171">
        <f t="shared" si="2"/>
        <v>43008</v>
      </c>
      <c r="O43" s="172">
        <f t="shared" si="3"/>
        <v>2017.75</v>
      </c>
      <c r="P43" s="240"/>
      <c r="Q43" s="317"/>
      <c r="R43" s="240"/>
    </row>
    <row r="44" spans="1:18" x14ac:dyDescent="0.2">
      <c r="A44" s="73" t="str">
        <f t="shared" si="1"/>
        <v>2017 / 4</v>
      </c>
      <c r="B44" s="50"/>
      <c r="C44" s="259">
        <f>'[3]TWIA 4 Premium Trend'!$F48</f>
        <v>45960</v>
      </c>
      <c r="D44" s="177">
        <f>'[3]TWIA 4 Premium Trend'!$E48</f>
        <v>73697340</v>
      </c>
      <c r="E44" s="159">
        <f>'[4]3.2 premium trend'!$E48</f>
        <v>1.05</v>
      </c>
      <c r="F44" s="290">
        <f t="shared" si="4"/>
        <v>77382207</v>
      </c>
      <c r="G44" s="281">
        <f t="shared" si="5"/>
        <v>1683.6859660574412</v>
      </c>
      <c r="H44" s="314">
        <f t="shared" si="7"/>
        <v>1648.4741171704345</v>
      </c>
      <c r="I44" s="271">
        <f t="shared" si="6"/>
        <v>1653.7903737883762</v>
      </c>
      <c r="J44" s="271">
        <f t="shared" si="8"/>
        <v>1654.5522247888014</v>
      </c>
      <c r="K44" s="271">
        <f t="shared" si="9"/>
        <v>1655.3573097736528</v>
      </c>
      <c r="L44" s="271">
        <f t="shared" si="10"/>
        <v>1651.656369404317</v>
      </c>
      <c r="M44" s="2"/>
      <c r="N44" s="171">
        <f t="shared" ref="N44:N51" si="11">DATE(YEAR(N45+1),MONTH(N45+1)-3,1)-1</f>
        <v>43100</v>
      </c>
      <c r="O44" s="172">
        <f t="shared" si="3"/>
        <v>2018</v>
      </c>
      <c r="P44" s="240"/>
      <c r="Q44" s="317"/>
      <c r="R44" s="240"/>
    </row>
    <row r="45" spans="1:18" x14ac:dyDescent="0.2">
      <c r="A45" s="73" t="str">
        <f t="shared" si="1"/>
        <v>2018 / 1</v>
      </c>
      <c r="B45" s="51"/>
      <c r="C45" s="259">
        <f>'[3]TWIA 4 Premium Trend'!$F49</f>
        <v>44101</v>
      </c>
      <c r="D45" s="177">
        <f>'[3]TWIA 4 Premium Trend'!$E49</f>
        <v>71679332</v>
      </c>
      <c r="E45" s="159">
        <f>'[4]3.2 premium trend'!$E49</f>
        <v>1</v>
      </c>
      <c r="F45" s="290">
        <f t="shared" si="4"/>
        <v>71679332</v>
      </c>
      <c r="G45" s="281">
        <f t="shared" si="5"/>
        <v>1625.3448221128772</v>
      </c>
      <c r="H45" s="314">
        <f t="shared" si="7"/>
        <v>1648.6781064681625</v>
      </c>
      <c r="I45" s="271">
        <f t="shared" si="6"/>
        <v>1655.521257529912</v>
      </c>
      <c r="J45" s="271">
        <f>GROWTH($H$33:$H$52,$O$33:$O$52,$O45,1)</f>
        <v>1654.9235474638406</v>
      </c>
      <c r="K45" s="271">
        <f>GROWTH($H$37:$H$52,$O$37:$O$52,$O45,1)</f>
        <v>1655.3757065671989</v>
      </c>
      <c r="L45" s="271">
        <f>GROWTH($H$41:$H$52,$O$41:$O$52,$O45,1)</f>
        <v>1652.5864525572665</v>
      </c>
      <c r="M45" s="2"/>
      <c r="N45" s="171">
        <f t="shared" si="11"/>
        <v>43190</v>
      </c>
      <c r="O45" s="172">
        <f t="shared" si="3"/>
        <v>2018.25</v>
      </c>
      <c r="P45" s="317"/>
      <c r="Q45" s="207"/>
      <c r="R45" s="240"/>
    </row>
    <row r="46" spans="1:18" x14ac:dyDescent="0.2">
      <c r="A46" s="73" t="str">
        <f t="shared" si="1"/>
        <v>2018 / 2</v>
      </c>
      <c r="B46" s="51"/>
      <c r="C46" s="259">
        <f>'[3]TWIA 4 Premium Trend'!$F50</f>
        <v>63851</v>
      </c>
      <c r="D46" s="177">
        <f>'[3]TWIA 4 Premium Trend'!$E50</f>
        <v>104163394</v>
      </c>
      <c r="E46" s="159">
        <f>'[4]3.2 premium trend'!$E50</f>
        <v>1</v>
      </c>
      <c r="F46" s="290">
        <f>D46*E46</f>
        <v>104163394</v>
      </c>
      <c r="G46" s="281">
        <f t="shared" si="5"/>
        <v>1631.351020344239</v>
      </c>
      <c r="H46" s="314">
        <f t="shared" si="7"/>
        <v>1648.6079611358493</v>
      </c>
      <c r="I46" s="271">
        <f t="shared" si="6"/>
        <v>1657.253952842357</v>
      </c>
      <c r="J46" s="271">
        <f t="shared" si="8"/>
        <v>1655.2949534729241</v>
      </c>
      <c r="K46" s="271">
        <f t="shared" si="9"/>
        <v>1655.3941035651972</v>
      </c>
      <c r="L46" s="271">
        <f t="shared" si="10"/>
        <v>1653.5170594600029</v>
      </c>
      <c r="M46" s="2"/>
      <c r="N46" s="171">
        <f t="shared" si="11"/>
        <v>43281</v>
      </c>
      <c r="O46" s="172">
        <f t="shared" si="3"/>
        <v>2018.5</v>
      </c>
      <c r="P46" s="317"/>
      <c r="Q46" s="207"/>
      <c r="R46" s="240"/>
    </row>
    <row r="47" spans="1:18" x14ac:dyDescent="0.2">
      <c r="A47" s="73" t="str">
        <f t="shared" si="1"/>
        <v>2018 / 3</v>
      </c>
      <c r="B47" s="51"/>
      <c r="C47" s="259">
        <f>'[3]TWIA 4 Premium Trend'!$F51</f>
        <v>61408</v>
      </c>
      <c r="D47" s="177">
        <f>'[3]TWIA 4 Premium Trend'!$E51</f>
        <v>101951681</v>
      </c>
      <c r="E47" s="159">
        <f>'[4]3.2 premium trend'!$E51</f>
        <v>1</v>
      </c>
      <c r="F47" s="290">
        <f t="shared" si="4"/>
        <v>101951681</v>
      </c>
      <c r="G47" s="281">
        <f>F47/C47</f>
        <v>1660.234513418447</v>
      </c>
      <c r="H47" s="314">
        <f t="shared" si="7"/>
        <v>1649.5291380271224</v>
      </c>
      <c r="I47" s="271">
        <f t="shared" si="6"/>
        <v>1658.9884616217255</v>
      </c>
      <c r="J47" s="271">
        <f t="shared" si="8"/>
        <v>1655.6664428347549</v>
      </c>
      <c r="K47" s="271">
        <f t="shared" si="9"/>
        <v>1655.4125007676505</v>
      </c>
      <c r="L47" s="271">
        <f t="shared" si="10"/>
        <v>1654.448190407461</v>
      </c>
      <c r="M47" s="2"/>
      <c r="N47" s="171">
        <f t="shared" si="11"/>
        <v>43373</v>
      </c>
      <c r="O47" s="172">
        <f t="shared" si="3"/>
        <v>2018.75</v>
      </c>
      <c r="P47" s="317"/>
      <c r="Q47" s="207"/>
      <c r="R47" s="240"/>
    </row>
    <row r="48" spans="1:18" x14ac:dyDescent="0.2">
      <c r="A48" s="227" t="str">
        <f t="shared" si="1"/>
        <v>2018 / 4</v>
      </c>
      <c r="B48" s="51"/>
      <c r="C48" s="259">
        <f>'[3]TWIA 4 Premium Trend'!$F52</f>
        <v>40418</v>
      </c>
      <c r="D48" s="177">
        <f>'[3]TWIA 4 Premium Trend'!$E52</f>
        <v>68300637</v>
      </c>
      <c r="E48" s="159">
        <f>'[4]3.2 premium trend'!$E52</f>
        <v>1</v>
      </c>
      <c r="F48" s="290">
        <f t="shared" si="4"/>
        <v>68300637</v>
      </c>
      <c r="G48" s="281">
        <f t="shared" si="5"/>
        <v>1689.8569201840764</v>
      </c>
      <c r="H48" s="314">
        <f t="shared" si="7"/>
        <v>1649.8157290087615</v>
      </c>
      <c r="I48" s="271">
        <f t="shared" si="6"/>
        <v>1660.7247857660236</v>
      </c>
      <c r="J48" s="271">
        <f t="shared" si="8"/>
        <v>1656.0380155680389</v>
      </c>
      <c r="K48" s="271">
        <f t="shared" si="9"/>
        <v>1655.4308981745608</v>
      </c>
      <c r="L48" s="271">
        <f t="shared" si="10"/>
        <v>1655.3798456947413</v>
      </c>
      <c r="M48" s="2"/>
      <c r="N48" s="171">
        <f t="shared" si="11"/>
        <v>43465</v>
      </c>
      <c r="O48" s="172">
        <f t="shared" si="3"/>
        <v>2019</v>
      </c>
      <c r="P48" s="317"/>
      <c r="Q48" s="207"/>
      <c r="R48" s="240"/>
    </row>
    <row r="49" spans="1:18" x14ac:dyDescent="0.2">
      <c r="A49" s="227" t="str">
        <f>YEAR(N49)&amp;" / "&amp;MONTH(N49)/3</f>
        <v>2019 / 1</v>
      </c>
      <c r="B49" s="51"/>
      <c r="C49" s="259">
        <f>'[3]TWIA 4 Premium Trend'!$F53</f>
        <v>39758</v>
      </c>
      <c r="D49" s="177">
        <f>'[3]TWIA 4 Premium Trend'!$E53</f>
        <v>65036872</v>
      </c>
      <c r="E49" s="159">
        <v>1</v>
      </c>
      <c r="F49" s="290">
        <f t="shared" si="4"/>
        <v>65036872</v>
      </c>
      <c r="G49" s="281">
        <f t="shared" si="5"/>
        <v>1635.8185019367172</v>
      </c>
      <c r="H49" s="314">
        <f t="shared" si="7"/>
        <v>1652.360036021126</v>
      </c>
      <c r="I49" s="271">
        <f t="shared" si="6"/>
        <v>1662.4629271752417</v>
      </c>
      <c r="J49" s="271">
        <f t="shared" si="8"/>
        <v>1656.4096716914869</v>
      </c>
      <c r="K49" s="271">
        <f t="shared" si="9"/>
        <v>1655.4492957859304</v>
      </c>
      <c r="L49" s="271">
        <f t="shared" si="10"/>
        <v>1656.3120256171112</v>
      </c>
      <c r="M49" s="2"/>
      <c r="N49" s="171">
        <f t="shared" si="11"/>
        <v>43555</v>
      </c>
      <c r="O49" s="172">
        <f>YEAR(N49)+MONTH(N49)/12</f>
        <v>2019.25</v>
      </c>
      <c r="P49" s="240"/>
      <c r="Q49" s="317"/>
      <c r="R49" s="240"/>
    </row>
    <row r="50" spans="1:18" x14ac:dyDescent="0.2">
      <c r="A50" s="227" t="str">
        <f>YEAR(N50)&amp;" / "&amp;MONTH(N50)/3</f>
        <v>2019 / 2</v>
      </c>
      <c r="B50" s="51"/>
      <c r="C50" s="259">
        <f>'[3]TWIA 4 Premium Trend'!$F54</f>
        <v>60805</v>
      </c>
      <c r="D50" s="177">
        <f>'[3]TWIA 4 Premium Trend'!$E54</f>
        <v>99948528</v>
      </c>
      <c r="E50" s="159">
        <v>1</v>
      </c>
      <c r="F50" s="290">
        <f t="shared" si="4"/>
        <v>99948528</v>
      </c>
      <c r="G50" s="281">
        <f t="shared" si="5"/>
        <v>1643.7550859304333</v>
      </c>
      <c r="H50" s="314">
        <f t="shared" si="7"/>
        <v>1656.4028578628286</v>
      </c>
      <c r="I50" s="271">
        <f t="shared" si="6"/>
        <v>1664.2028877513587</v>
      </c>
      <c r="J50" s="271">
        <f t="shared" si="8"/>
        <v>1656.7814112238134</v>
      </c>
      <c r="K50" s="271">
        <f t="shared" si="9"/>
        <v>1655.4676936017618</v>
      </c>
      <c r="L50" s="271">
        <f t="shared" si="10"/>
        <v>1657.244730470004</v>
      </c>
      <c r="M50" s="2"/>
      <c r="N50" s="171">
        <f t="shared" si="11"/>
        <v>43646</v>
      </c>
      <c r="O50" s="172">
        <f>YEAR(N50)+MONTH(N50)/12</f>
        <v>2019.5</v>
      </c>
      <c r="P50" s="240"/>
      <c r="Q50" s="317"/>
      <c r="R50" s="240"/>
    </row>
    <row r="51" spans="1:18" x14ac:dyDescent="0.2">
      <c r="A51" s="227" t="str">
        <f>YEAR(N51)&amp;" / "&amp;MONTH(N51)/3</f>
        <v>2019 / 3</v>
      </c>
      <c r="B51" s="51"/>
      <c r="C51" s="259">
        <f>'[3]TWIA 4 Premium Trend'!$F55</f>
        <v>57547</v>
      </c>
      <c r="D51" s="177">
        <f>'[3]TWIA 4 Premium Trend'!$E55</f>
        <v>97063357</v>
      </c>
      <c r="E51" s="159">
        <v>1</v>
      </c>
      <c r="F51" s="290">
        <f t="shared" si="4"/>
        <v>97063357</v>
      </c>
      <c r="G51" s="281">
        <f t="shared" si="5"/>
        <v>1686.6797052843763</v>
      </c>
      <c r="H51" s="314">
        <f t="shared" si="7"/>
        <v>1663.9939655867183</v>
      </c>
      <c r="I51" s="271">
        <f t="shared" si="6"/>
        <v>1665.9446693983471</v>
      </c>
      <c r="J51" s="271">
        <f t="shared" si="8"/>
        <v>1657.1532341837383</v>
      </c>
      <c r="K51" s="271">
        <f t="shared" si="9"/>
        <v>1655.4860916220573</v>
      </c>
      <c r="L51" s="271">
        <f t="shared" si="10"/>
        <v>1658.1779605490187</v>
      </c>
      <c r="M51" s="2"/>
      <c r="N51" s="171">
        <f t="shared" si="11"/>
        <v>43738</v>
      </c>
      <c r="O51" s="172">
        <f>YEAR(N51)+MONTH(N51)/12</f>
        <v>2019.75</v>
      </c>
      <c r="P51" s="240"/>
      <c r="Q51" s="317"/>
      <c r="R51" s="240"/>
    </row>
    <row r="52" spans="1:18" x14ac:dyDescent="0.2">
      <c r="A52" s="227" t="str">
        <f>YEAR(N52)&amp;" / "&amp;MONTH(N52)/3</f>
        <v>2019 / 4</v>
      </c>
      <c r="B52" s="51"/>
      <c r="C52" s="259">
        <f>'[3]TWIA 4 Premium Trend'!$F56</f>
        <v>38375</v>
      </c>
      <c r="D52" s="177">
        <f>'[3]TWIA 4 Premium Trend'!$E56</f>
        <v>65697652</v>
      </c>
      <c r="E52" s="159">
        <v>1</v>
      </c>
      <c r="F52" s="290">
        <f t="shared" si="4"/>
        <v>65697652</v>
      </c>
      <c r="G52" s="281">
        <f t="shared" si="5"/>
        <v>1711.9909315960913</v>
      </c>
      <c r="H52" s="314">
        <f t="shared" si="7"/>
        <v>1668.0479883960609</v>
      </c>
      <c r="I52" s="271">
        <f t="shared" si="6"/>
        <v>1667.6882740221631</v>
      </c>
      <c r="J52" s="271">
        <f t="shared" si="8"/>
        <v>1657.5251405899839</v>
      </c>
      <c r="K52" s="271">
        <f t="shared" si="9"/>
        <v>1655.5044898468184</v>
      </c>
      <c r="L52" s="271">
        <f t="shared" si="10"/>
        <v>1659.1117161499221</v>
      </c>
      <c r="M52" s="2"/>
      <c r="N52" s="96">
        <v>43830</v>
      </c>
      <c r="O52" s="172">
        <f>YEAR(N52)+MONTH(N52)/12</f>
        <v>2020</v>
      </c>
      <c r="P52" s="240"/>
      <c r="Q52" s="317"/>
      <c r="R52" s="240"/>
    </row>
    <row r="53" spans="1:18" x14ac:dyDescent="0.2">
      <c r="A53" s="176"/>
      <c r="B53" s="26"/>
      <c r="C53" s="260"/>
      <c r="D53" s="178"/>
      <c r="E53" s="183"/>
      <c r="F53" s="178"/>
      <c r="G53" s="174"/>
      <c r="H53" s="174"/>
      <c r="I53" s="179"/>
      <c r="J53" s="179"/>
      <c r="K53" s="179"/>
      <c r="L53" s="179"/>
      <c r="M53" s="2"/>
    </row>
    <row r="54" spans="1:18" x14ac:dyDescent="0.2">
      <c r="A54" s="227"/>
      <c r="B54" s="51"/>
      <c r="C54" s="261"/>
      <c r="D54" s="177"/>
      <c r="E54" s="229"/>
      <c r="F54" s="228"/>
      <c r="G54" s="230"/>
      <c r="H54" s="230"/>
      <c r="I54" s="231"/>
      <c r="J54" s="231"/>
      <c r="K54" s="231"/>
      <c r="L54" s="231"/>
      <c r="M54" s="2"/>
      <c r="N54" s="96"/>
      <c r="O54" s="172"/>
    </row>
    <row r="55" spans="1:18" x14ac:dyDescent="0.2">
      <c r="A55" s="232" t="s">
        <v>275</v>
      </c>
      <c r="B55" s="50" t="s">
        <v>291</v>
      </c>
      <c r="C55" s="117"/>
      <c r="D55" s="50"/>
      <c r="E55" s="50"/>
      <c r="F55" s="50"/>
      <c r="G55" s="50"/>
      <c r="H55" s="50"/>
      <c r="I55" s="63">
        <f>LOGEST($I$18:$I$52,$O$18:$O$52,1,1)-1</f>
        <v>4.1930416862703268E-3</v>
      </c>
      <c r="J55" s="63">
        <f>LOGEST($J$33:$J$52,$O$33:$O$52,1,1)-1</f>
        <v>8.9800174148457756E-4</v>
      </c>
      <c r="K55" s="63">
        <f>LOGEST($K$37:$K$52,$O$37:$O$52,1,1)-1</f>
        <v>4.4454692937678786E-5</v>
      </c>
      <c r="L55" s="63">
        <f>LOGEST($L$41:$L$52,$O$41:$O$52,1,1)-1</f>
        <v>2.2543892055266745E-3</v>
      </c>
      <c r="M55" s="2"/>
      <c r="N55" s="175"/>
    </row>
    <row r="56" spans="1:18" x14ac:dyDescent="0.2">
      <c r="A56" s="106" t="s">
        <v>206</v>
      </c>
      <c r="B56" s="50" t="s">
        <v>290</v>
      </c>
      <c r="C56" s="46"/>
      <c r="D56" s="19"/>
      <c r="E56"/>
      <c r="F56" s="19"/>
      <c r="G56" s="19"/>
      <c r="H56" s="19"/>
      <c r="I56" s="63">
        <f>INDEX(LOGEST($H$17:$H$52,$O$17:$O$52,1,1),3,1)</f>
        <v>0.75634673006066311</v>
      </c>
      <c r="J56" s="63">
        <f>INDEX(LOGEST($H$33:$H$52,$O$33:$O$52,1,1),3,1)</f>
        <v>0.11311813583626769</v>
      </c>
      <c r="K56" s="63">
        <f>INDEX(LOGEST($H$37:$H$52,$O$37:$O$52,1,1),3,1)</f>
        <v>2.0212532236702602E-4</v>
      </c>
      <c r="L56" s="63">
        <f>INDEX(LOGEST($H$41:$H$52,$O$41:$O$52,1,1),3,1)</f>
        <v>0.26437240167223192</v>
      </c>
      <c r="M56" s="2"/>
    </row>
    <row r="57" spans="1:18" x14ac:dyDescent="0.2">
      <c r="A57"/>
      <c r="C57" s="46"/>
      <c r="D57" s="19"/>
      <c r="E57"/>
      <c r="F57" s="19"/>
      <c r="G57" s="19"/>
      <c r="H57" s="19"/>
      <c r="I57" s="19"/>
      <c r="J57" s="19"/>
      <c r="K57" s="19"/>
      <c r="L57" s="19"/>
      <c r="M57" s="2"/>
    </row>
    <row r="58" spans="1:18" x14ac:dyDescent="0.2">
      <c r="A58" s="106" t="s">
        <v>292</v>
      </c>
      <c r="B58" s="12" t="s">
        <v>223</v>
      </c>
      <c r="C58" s="46"/>
      <c r="D58" s="19"/>
      <c r="F58" s="19"/>
      <c r="G58" s="19"/>
      <c r="H58" s="19"/>
      <c r="I58" s="19"/>
      <c r="J58" s="19"/>
      <c r="K58" s="19"/>
      <c r="L58" s="108">
        <f>AVERAGE(J55:L55)</f>
        <v>1.0656152133163104E-3</v>
      </c>
      <c r="M58" s="2"/>
    </row>
    <row r="59" spans="1:18" ht="12" thickBot="1" x14ac:dyDescent="0.25">
      <c r="A59" s="6"/>
      <c r="B59" s="6"/>
      <c r="C59" s="210"/>
      <c r="D59" s="6"/>
      <c r="E59" s="6"/>
      <c r="F59" s="6"/>
      <c r="G59" s="6"/>
      <c r="H59" s="6"/>
      <c r="I59" s="6"/>
      <c r="J59" s="6"/>
      <c r="K59" s="6"/>
      <c r="L59" s="6"/>
      <c r="M59" s="2"/>
    </row>
    <row r="60" spans="1:18" ht="12" thickTop="1" x14ac:dyDescent="0.2">
      <c r="A60"/>
      <c r="B60"/>
      <c r="C60" s="11"/>
      <c r="D60"/>
      <c r="E60"/>
      <c r="F60"/>
      <c r="G60"/>
      <c r="H60"/>
      <c r="I60"/>
      <c r="J60"/>
      <c r="K60"/>
      <c r="L60"/>
      <c r="M60" s="2"/>
    </row>
    <row r="61" spans="1:18" x14ac:dyDescent="0.2">
      <c r="A61" s="25" t="s">
        <v>17</v>
      </c>
      <c r="B61" s="25"/>
      <c r="C61" s="263" t="str">
        <f>C12&amp;" Provided by TWIA"</f>
        <v>(2) Provided by TWIA</v>
      </c>
      <c r="D61" s="265"/>
      <c r="E61" s="264"/>
      <c r="F61" s="25"/>
      <c r="G61" s="316" t="s">
        <v>350</v>
      </c>
      <c r="I61"/>
      <c r="J61"/>
      <c r="K61"/>
      <c r="L61"/>
      <c r="M61" s="2"/>
    </row>
    <row r="62" spans="1:18" x14ac:dyDescent="0.2">
      <c r="A62" s="25"/>
      <c r="B62" s="266"/>
      <c r="C62" s="263" t="str">
        <f>D12&amp;" Provided by TWIA"</f>
        <v>(3) Provided by TWIA</v>
      </c>
      <c r="D62" s="265"/>
      <c r="E62" s="264"/>
      <c r="F62" s="265"/>
      <c r="G62" s="22" t="str">
        <f>I12&amp;" - "&amp;L12&amp;" = "&amp;G12&amp;" fitted to an exponential distribution"</f>
        <v>(8) - (11) = (6) fitted to an exponential distribution</v>
      </c>
      <c r="H62" s="22"/>
      <c r="I62" s="99"/>
      <c r="J62" s="99"/>
      <c r="K62" s="99"/>
      <c r="L62"/>
      <c r="M62" s="2"/>
    </row>
    <row r="63" spans="1:18" x14ac:dyDescent="0.2">
      <c r="A63" s="265"/>
      <c r="B63" s="161"/>
      <c r="C63" s="263" t="str">
        <f>E12&amp;" Cumulative effect of annual rate changes"</f>
        <v>(4) Cumulative effect of annual rate changes</v>
      </c>
      <c r="D63" s="264"/>
      <c r="E63" s="265"/>
      <c r="F63" s="266"/>
      <c r="G63" s="161" t="str">
        <f>'3.2 premium trend'!A55&amp;" Fitted average annual change"</f>
        <v>(14) Fitted average annual change</v>
      </c>
      <c r="H63" s="161"/>
      <c r="I63" s="99"/>
      <c r="J63" s="99"/>
      <c r="K63" s="99"/>
      <c r="L63"/>
      <c r="M63" s="2"/>
    </row>
    <row r="64" spans="1:18" x14ac:dyDescent="0.2">
      <c r="A64" s="267"/>
      <c r="B64" s="265"/>
      <c r="C64" s="263" t="str">
        <f>F12&amp;" = "&amp;D12&amp;" * "&amp;E12</f>
        <v>(5) = (3) * (4)</v>
      </c>
      <c r="D64" s="265"/>
      <c r="E64" s="265"/>
      <c r="F64" s="266"/>
      <c r="G64" s="161" t="str">
        <f>'3.2 premium trend'!A56&amp;" Evaluates the predictability of the fitted curve"</f>
        <v>(15) Evaluates the predictability of the fitted curve</v>
      </c>
      <c r="H64" s="161"/>
      <c r="I64" s="99"/>
      <c r="J64" s="99"/>
      <c r="K64" s="99"/>
      <c r="L64"/>
      <c r="M64" s="2"/>
    </row>
    <row r="65" spans="1:13" x14ac:dyDescent="0.2">
      <c r="A65" s="25"/>
      <c r="B65" s="266"/>
      <c r="C65" s="267" t="s">
        <v>349</v>
      </c>
      <c r="D65" s="25"/>
      <c r="E65" s="25"/>
      <c r="F65" s="265"/>
      <c r="G65" s="161" t="str">
        <f>'3.2 premium trend'!A58&amp;" Selected based on judgment"</f>
        <v>(16) Selected based on judgment</v>
      </c>
      <c r="H65" s="161"/>
      <c r="I65" s="99"/>
      <c r="J65" s="99"/>
      <c r="K65" s="99"/>
      <c r="L65"/>
      <c r="M65" s="2"/>
    </row>
    <row r="66" spans="1:13" x14ac:dyDescent="0.2">
      <c r="A66" s="265"/>
      <c r="B66" s="161"/>
      <c r="C66" s="263"/>
      <c r="D66" s="265"/>
      <c r="E66" s="265"/>
      <c r="F66" s="265"/>
      <c r="L66"/>
      <c r="M66" s="2"/>
    </row>
    <row r="67" spans="1:13" x14ac:dyDescent="0.2">
      <c r="A67" s="265"/>
      <c r="B67" s="161"/>
      <c r="C67" s="263"/>
      <c r="D67" s="265"/>
      <c r="E67" s="265"/>
      <c r="F67" s="265"/>
      <c r="L67"/>
      <c r="M67" s="2"/>
    </row>
    <row r="68" spans="1:13" x14ac:dyDescent="0.2">
      <c r="A68" s="51"/>
      <c r="B68" s="265"/>
      <c r="C68" s="265"/>
      <c r="D68" s="268"/>
      <c r="E68" s="268"/>
      <c r="F68" s="269"/>
      <c r="G68" s="105"/>
      <c r="H68" s="105"/>
      <c r="I68" s="105"/>
      <c r="J68" s="105"/>
      <c r="K68" s="105"/>
      <c r="L68"/>
      <c r="M68" s="2"/>
    </row>
    <row r="69" spans="1:13" x14ac:dyDescent="0.2">
      <c r="A69" s="50"/>
      <c r="D69" s="50"/>
      <c r="E69" s="50"/>
      <c r="F69" s="50"/>
      <c r="G69" s="58"/>
      <c r="H69" s="58"/>
      <c r="I69" s="58"/>
      <c r="J69" s="58"/>
      <c r="K69" s="58"/>
      <c r="L69"/>
      <c r="M69" s="2"/>
    </row>
    <row r="70" spans="1:13" ht="12" thickBot="1" x14ac:dyDescent="0.25">
      <c r="A70"/>
      <c r="D70" s="19"/>
      <c r="E70"/>
      <c r="F70" s="19"/>
      <c r="G70" s="19"/>
      <c r="H70" s="19"/>
      <c r="I70" s="19"/>
      <c r="J70" s="19"/>
      <c r="K70" s="19"/>
      <c r="L70" s="19"/>
      <c r="M70" s="2"/>
    </row>
    <row r="71" spans="1:13" ht="12" thickBot="1" x14ac:dyDescent="0.25">
      <c r="A71" s="4"/>
      <c r="B71" s="5"/>
      <c r="C71" s="211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0" type="noConversion"/>
  <pageMargins left="0.5" right="0.5" top="0.5" bottom="0.5" header="0.5" footer="0.5"/>
  <pageSetup scale="86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rgb="FF92D050"/>
  </sheetPr>
  <dimension ref="A1:Q69"/>
  <sheetViews>
    <sheetView showGridLines="0" workbookViewId="0">
      <selection activeCell="H34" sqref="H34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7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67</v>
      </c>
      <c r="M1" s="1"/>
    </row>
    <row r="2" spans="1:17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K2"/>
      <c r="L2" s="7" t="s">
        <v>51</v>
      </c>
      <c r="M2" s="2"/>
    </row>
    <row r="3" spans="1:17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109" t="s">
        <v>236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109" t="s">
        <v>237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6"/>
      <c r="D7" s="6"/>
      <c r="E7" s="6"/>
      <c r="F7" s="6"/>
      <c r="G7" s="50"/>
      <c r="H7" s="50"/>
      <c r="I7" s="50"/>
      <c r="J7" s="50"/>
      <c r="K7" s="50"/>
      <c r="L7" s="50"/>
      <c r="M7" s="2"/>
    </row>
    <row r="8" spans="1:17" ht="12" thickTop="1" x14ac:dyDescent="0.2">
      <c r="A8"/>
      <c r="B8"/>
      <c r="C8"/>
      <c r="D8"/>
      <c r="E8"/>
      <c r="F8"/>
      <c r="G8" s="50"/>
      <c r="H8" s="50"/>
      <c r="I8" s="50"/>
      <c r="J8" s="50"/>
      <c r="K8" s="50"/>
      <c r="L8" s="50"/>
      <c r="M8" s="2"/>
      <c r="N8" t="s">
        <v>217</v>
      </c>
    </row>
    <row r="9" spans="1:17" x14ac:dyDescent="0.2">
      <c r="A9" t="s">
        <v>239</v>
      </c>
      <c r="B9"/>
      <c r="C9" s="22"/>
      <c r="D9"/>
      <c r="E9"/>
      <c r="F9"/>
      <c r="G9"/>
      <c r="H9"/>
      <c r="I9"/>
      <c r="J9"/>
      <c r="K9"/>
      <c r="L9"/>
      <c r="M9" s="2"/>
      <c r="N9" s="91">
        <v>43738</v>
      </c>
    </row>
    <row r="10" spans="1:17" x14ac:dyDescent="0.2">
      <c r="A10" t="s">
        <v>34</v>
      </c>
      <c r="B10"/>
      <c r="C10" t="s">
        <v>240</v>
      </c>
      <c r="D10" t="s">
        <v>241</v>
      </c>
      <c r="E10" t="s">
        <v>242</v>
      </c>
      <c r="F10" t="s">
        <v>133</v>
      </c>
      <c r="G10"/>
      <c r="H10"/>
      <c r="I10"/>
      <c r="J10"/>
      <c r="K10"/>
      <c r="L10"/>
      <c r="M10" s="2"/>
      <c r="O10" t="s">
        <v>243</v>
      </c>
      <c r="Q10"/>
    </row>
    <row r="11" spans="1:17" x14ac:dyDescent="0.2">
      <c r="A11" s="9" t="str">
        <f>TEXT($N$9,"m/d/xx")</f>
        <v>9/30/xx</v>
      </c>
      <c r="B11" s="9"/>
      <c r="C11" s="9" t="s">
        <v>244</v>
      </c>
      <c r="D11" s="9" t="s">
        <v>244</v>
      </c>
      <c r="E11" s="9" t="s">
        <v>245</v>
      </c>
      <c r="F11" s="9" t="s">
        <v>71</v>
      </c>
      <c r="G11"/>
      <c r="H11"/>
      <c r="I11"/>
      <c r="J11"/>
      <c r="K11"/>
      <c r="L11"/>
      <c r="M11" s="2"/>
      <c r="N11" s="9" t="s">
        <v>235</v>
      </c>
      <c r="O11" s="9" t="s">
        <v>240</v>
      </c>
      <c r="P11" s="9" t="s">
        <v>241</v>
      </c>
      <c r="Q11" s="9" t="s">
        <v>246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/>
      <c r="H12"/>
      <c r="I12"/>
      <c r="J12"/>
      <c r="K12"/>
      <c r="L12"/>
      <c r="M12" s="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t="str">
        <f t="shared" ref="A14:A21" si="0">TEXT(A15-1,"#")</f>
        <v>2010</v>
      </c>
      <c r="B14" s="25"/>
      <c r="C14" s="76">
        <f>ROUND('3.3b'!$C$52/'3.3b'!$C$16,3)</f>
        <v>1.204</v>
      </c>
      <c r="D14" s="76">
        <f>ROUND('3.3c'!$C$52/'3.3c'!$C$16,3)</f>
        <v>1.212</v>
      </c>
      <c r="E14" s="36">
        <f>ROUND('3.3d'!$C$54/'3.3d'!$C$18,3)</f>
        <v>1.1180000000000001</v>
      </c>
      <c r="F14" s="36">
        <f>ROUND(SUMPRODUCT(C14:E14,$O14:$Q14)/SUMIF(C14:E14,"&gt;0",$O14:$Q14),3)</f>
        <v>1.1890000000000001</v>
      </c>
      <c r="G14"/>
      <c r="H14"/>
      <c r="I14"/>
      <c r="J14" s="36"/>
      <c r="K14" s="36"/>
      <c r="M14" s="2"/>
      <c r="N14" s="12">
        <f t="shared" ref="N14:N23" si="1">VALUE(A14)-1900</f>
        <v>110</v>
      </c>
      <c r="O14" s="128">
        <v>0</v>
      </c>
      <c r="P14" s="128">
        <v>0.75</v>
      </c>
      <c r="Q14" s="128">
        <v>0.25</v>
      </c>
    </row>
    <row r="15" spans="1:17" x14ac:dyDescent="0.2">
      <c r="A15" t="str">
        <f t="shared" si="0"/>
        <v>2011</v>
      </c>
      <c r="B15" s="25"/>
      <c r="C15" s="76">
        <f>ROUND('3.3b'!$C$52/'3.3b'!$C$20,3)</f>
        <v>1.1890000000000001</v>
      </c>
      <c r="D15" s="76">
        <f>ROUND('3.3c'!$C$52/'3.3c'!$C$20,3)</f>
        <v>1.208</v>
      </c>
      <c r="E15" s="36">
        <f>ROUND('3.3d'!$C$54/'3.3d'!$C$22,3)</f>
        <v>1.1060000000000001</v>
      </c>
      <c r="F15" s="36">
        <f t="shared" ref="F15:F22" si="2">ROUND(SUMPRODUCT(C15:E15,$O15:$Q15)/SUMIF(C15:E15,"&gt;0",$O15:$Q15),3)</f>
        <v>1.1830000000000001</v>
      </c>
      <c r="G15"/>
      <c r="H15"/>
      <c r="I15"/>
      <c r="J15" s="36"/>
      <c r="K15" s="36"/>
      <c r="L15"/>
      <c r="M15" s="2"/>
      <c r="N15" s="12">
        <f t="shared" si="1"/>
        <v>111</v>
      </c>
      <c r="O15" s="128">
        <v>0</v>
      </c>
      <c r="P15" s="128">
        <v>0.75</v>
      </c>
      <c r="Q15" s="128">
        <v>0.25</v>
      </c>
    </row>
    <row r="16" spans="1:17" x14ac:dyDescent="0.2">
      <c r="A16" t="str">
        <f t="shared" si="0"/>
        <v>2012</v>
      </c>
      <c r="B16" s="25"/>
      <c r="C16" s="76">
        <f>ROUND('3.3b'!$C$52/'3.3b'!$C$24,3)</f>
        <v>1.1639999999999999</v>
      </c>
      <c r="D16" s="76">
        <f>ROUND('3.3c'!$C$52/'3.3c'!$C$24,3)</f>
        <v>1.1850000000000001</v>
      </c>
      <c r="E16" s="36">
        <f>ROUND('3.3d'!$C$54/'3.3d'!$C$26,3)</f>
        <v>1.0820000000000001</v>
      </c>
      <c r="F16" s="36">
        <f t="shared" si="2"/>
        <v>1.159</v>
      </c>
      <c r="G16"/>
      <c r="H16"/>
      <c r="I16"/>
      <c r="J16" s="36"/>
      <c r="K16" s="36"/>
      <c r="L16"/>
      <c r="M16" s="2"/>
      <c r="N16" s="12">
        <f t="shared" si="1"/>
        <v>112</v>
      </c>
      <c r="O16" s="128">
        <v>0</v>
      </c>
      <c r="P16" s="128">
        <v>0.75</v>
      </c>
      <c r="Q16" s="128">
        <v>0.25</v>
      </c>
    </row>
    <row r="17" spans="1:17" x14ac:dyDescent="0.2">
      <c r="A17" t="str">
        <f t="shared" si="0"/>
        <v>2013</v>
      </c>
      <c r="B17" s="25"/>
      <c r="C17" s="76">
        <f>ROUND('3.3b'!$C$52/'3.3b'!$C$28,3)</f>
        <v>1.1279999999999999</v>
      </c>
      <c r="D17" s="76">
        <f>ROUND('3.3c'!$C$52/'3.3c'!$C$28,3)</f>
        <v>1.147</v>
      </c>
      <c r="E17" s="36">
        <f>ROUND('3.3d'!$C$54/'3.3d'!$C$30,3)</f>
        <v>1.0740000000000001</v>
      </c>
      <c r="F17" s="36">
        <f t="shared" si="2"/>
        <v>1.129</v>
      </c>
      <c r="G17"/>
      <c r="H17"/>
      <c r="I17"/>
      <c r="J17" s="36"/>
      <c r="K17" s="36"/>
      <c r="L17"/>
      <c r="M17" s="2"/>
      <c r="N17" s="12">
        <f t="shared" si="1"/>
        <v>113</v>
      </c>
      <c r="O17" s="128">
        <v>0</v>
      </c>
      <c r="P17" s="128">
        <v>0.75</v>
      </c>
      <c r="Q17" s="128">
        <v>0.25</v>
      </c>
    </row>
    <row r="18" spans="1:17" x14ac:dyDescent="0.2">
      <c r="A18" t="str">
        <f t="shared" si="0"/>
        <v>2014</v>
      </c>
      <c r="B18" s="25"/>
      <c r="C18" s="76">
        <f>ROUND('3.3b'!$C$52/'3.3b'!$C$32,3)</f>
        <v>1.0940000000000001</v>
      </c>
      <c r="D18" s="76">
        <f>ROUND('3.3c'!$C$52/'3.3c'!$C$32,3)</f>
        <v>1.103</v>
      </c>
      <c r="E18" s="36">
        <f>ROUND('3.3d'!$C$54/'3.3d'!$C$34,3)</f>
        <v>1.0640000000000001</v>
      </c>
      <c r="F18" s="36">
        <f t="shared" si="2"/>
        <v>1.093</v>
      </c>
      <c r="G18"/>
      <c r="H18"/>
      <c r="I18"/>
      <c r="J18" s="36"/>
      <c r="K18" s="36"/>
      <c r="L18"/>
      <c r="M18" s="2"/>
      <c r="N18" s="12">
        <f t="shared" si="1"/>
        <v>114</v>
      </c>
      <c r="O18" s="128">
        <v>0</v>
      </c>
      <c r="P18" s="128">
        <v>0.75</v>
      </c>
      <c r="Q18" s="128">
        <v>0.25</v>
      </c>
    </row>
    <row r="19" spans="1:17" x14ac:dyDescent="0.2">
      <c r="A19" t="str">
        <f t="shared" si="0"/>
        <v>2015</v>
      </c>
      <c r="B19" s="25"/>
      <c r="C19" s="76">
        <f>ROUND('3.3b'!$C$52/'3.3b'!$C$36,3)</f>
        <v>1.0660000000000001</v>
      </c>
      <c r="D19" s="76">
        <f>ROUND('3.3c'!$C$52/'3.3c'!$C$36,3)</f>
        <v>1.077</v>
      </c>
      <c r="E19" s="36">
        <f>ROUND('3.3d'!$C$54/'3.3d'!$C$38,3)</f>
        <v>1.0509999999999999</v>
      </c>
      <c r="F19" s="36">
        <f t="shared" si="2"/>
        <v>1.071</v>
      </c>
      <c r="G19"/>
      <c r="H19"/>
      <c r="I19"/>
      <c r="J19" s="36"/>
      <c r="K19" s="36"/>
      <c r="L19"/>
      <c r="M19" s="2"/>
      <c r="N19" s="12">
        <f t="shared" si="1"/>
        <v>115</v>
      </c>
      <c r="O19" s="128">
        <v>0</v>
      </c>
      <c r="P19" s="128">
        <v>0.75</v>
      </c>
      <c r="Q19" s="128">
        <v>0.25</v>
      </c>
    </row>
    <row r="20" spans="1:17" x14ac:dyDescent="0.2">
      <c r="A20" t="str">
        <f t="shared" si="0"/>
        <v>2016</v>
      </c>
      <c r="B20" s="25"/>
      <c r="C20" s="76">
        <f>ROUND('3.3b'!$C$52/'3.3b'!$C$40,3)</f>
        <v>1.073</v>
      </c>
      <c r="D20" s="76">
        <f>ROUND('3.3c'!$C$52/'3.3c'!$C$40,3)</f>
        <v>1.085</v>
      </c>
      <c r="E20" s="36">
        <f>ROUND('3.3d'!$C$54/'3.3d'!$C$42,3)</f>
        <v>1.0349999999999999</v>
      </c>
      <c r="F20" s="36">
        <f t="shared" si="2"/>
        <v>1.073</v>
      </c>
      <c r="G20"/>
      <c r="H20"/>
      <c r="I20"/>
      <c r="J20" s="36"/>
      <c r="K20" s="36"/>
      <c r="L20"/>
      <c r="M20" s="2"/>
      <c r="N20" s="12">
        <f t="shared" si="1"/>
        <v>116</v>
      </c>
      <c r="O20" s="128">
        <v>0</v>
      </c>
      <c r="P20" s="128">
        <v>0.75</v>
      </c>
      <c r="Q20" s="128">
        <v>0.25</v>
      </c>
    </row>
    <row r="21" spans="1:17" x14ac:dyDescent="0.2">
      <c r="A21" t="str">
        <f t="shared" si="0"/>
        <v>2017</v>
      </c>
      <c r="B21" s="25"/>
      <c r="C21" s="76">
        <f>ROUND('3.3b'!$C$52/'3.3b'!$C$44,3)</f>
        <v>1.0609999999999999</v>
      </c>
      <c r="D21" s="76">
        <f>ROUND('3.3c'!$C$52/'3.3c'!$C$44,3)</f>
        <v>1.0720000000000001</v>
      </c>
      <c r="E21" s="36">
        <f>ROUND('3.3d'!$C$54/'3.3d'!$C$46,3)</f>
        <v>1.028</v>
      </c>
      <c r="F21" s="36">
        <f t="shared" si="2"/>
        <v>1.0609999999999999</v>
      </c>
      <c r="G21"/>
      <c r="H21"/>
      <c r="I21"/>
      <c r="J21" s="36"/>
      <c r="K21" s="36"/>
      <c r="L21"/>
      <c r="M21" s="2"/>
      <c r="N21" s="12">
        <f t="shared" si="1"/>
        <v>117</v>
      </c>
      <c r="O21" s="128">
        <v>0</v>
      </c>
      <c r="P21" s="128">
        <v>0.75</v>
      </c>
      <c r="Q21" s="128">
        <v>0.25</v>
      </c>
    </row>
    <row r="22" spans="1:17" x14ac:dyDescent="0.2">
      <c r="A22" t="str">
        <f>TEXT(A23-1,"#")</f>
        <v>2018</v>
      </c>
      <c r="B22" s="25"/>
      <c r="C22" s="76">
        <f>ROUND('3.3b'!$C$52/'3.3b'!$C$48,3)</f>
        <v>1.0229999999999999</v>
      </c>
      <c r="D22" s="76">
        <f>ROUND('3.3c'!$C$52/'3.3c'!$C$48,3)</f>
        <v>1.032</v>
      </c>
      <c r="E22" s="76">
        <f>ROUND('3.3d'!$C$54/'3.3d'!$C$50,3)</f>
        <v>1.0209999999999999</v>
      </c>
      <c r="F22" s="36">
        <f t="shared" si="2"/>
        <v>1.0289999999999999</v>
      </c>
      <c r="G22"/>
      <c r="H22"/>
      <c r="I22"/>
      <c r="J22" s="36"/>
      <c r="K22" s="36"/>
      <c r="L22"/>
      <c r="M22" s="2"/>
      <c r="N22" s="12">
        <f t="shared" si="1"/>
        <v>118</v>
      </c>
      <c r="O22" s="128">
        <v>0</v>
      </c>
      <c r="P22" s="128">
        <v>0.75</v>
      </c>
      <c r="Q22" s="128">
        <v>0.25</v>
      </c>
    </row>
    <row r="23" spans="1:17" x14ac:dyDescent="0.2">
      <c r="A23" t="str">
        <f>TEXT(YEAR($N$9),"#")</f>
        <v>2019</v>
      </c>
      <c r="B23" s="25"/>
      <c r="C23" s="76">
        <f>ROUND('3.3b'!$C$52/'3.3b'!$C$52,3)</f>
        <v>1</v>
      </c>
      <c r="D23" s="76">
        <f>ROUND('3.3c'!$C$52/'3.3c'!$C$52,3)</f>
        <v>1</v>
      </c>
      <c r="E23" s="76">
        <f>ROUND('3.3d'!$C$54/'3.3d'!$C$54,3)</f>
        <v>1</v>
      </c>
      <c r="F23" s="36">
        <f>ROUND(SUMPRODUCT(C23:E23,$O23:$Q23)/SUMIF(C23:E23,"&gt;0",$O23:$Q23),3)</f>
        <v>1</v>
      </c>
      <c r="G23"/>
      <c r="H23"/>
      <c r="I23"/>
      <c r="J23" s="36"/>
      <c r="K23" s="36"/>
      <c r="L23"/>
      <c r="M23" s="2"/>
      <c r="N23" s="12">
        <f t="shared" si="1"/>
        <v>119</v>
      </c>
      <c r="O23" s="128">
        <v>0</v>
      </c>
      <c r="P23" s="128">
        <v>0.75</v>
      </c>
      <c r="Q23" s="128">
        <v>0.25</v>
      </c>
    </row>
    <row r="24" spans="1:17" x14ac:dyDescent="0.2">
      <c r="A24" s="9"/>
      <c r="B24" s="26"/>
      <c r="C24" s="37"/>
      <c r="D24" s="37"/>
      <c r="E24" s="37"/>
      <c r="F24" s="37"/>
      <c r="G24" s="105"/>
      <c r="H24" s="49"/>
      <c r="I24" s="49"/>
      <c r="J24" s="64"/>
      <c r="K24" s="64"/>
      <c r="L24" s="64"/>
      <c r="M24" s="2"/>
    </row>
    <row r="25" spans="1:17" x14ac:dyDescent="0.2">
      <c r="A25" s="50"/>
      <c r="B25" s="50"/>
      <c r="C25" s="58"/>
      <c r="D25" s="50"/>
      <c r="E25" s="50"/>
      <c r="F25" s="50"/>
      <c r="G25"/>
      <c r="H25"/>
      <c r="I25"/>
      <c r="J25"/>
      <c r="K25"/>
      <c r="L25"/>
      <c r="M25" s="2"/>
      <c r="Q25"/>
    </row>
    <row r="26" spans="1:17" x14ac:dyDescent="0.2">
      <c r="A26" s="12" t="s">
        <v>247</v>
      </c>
      <c r="H26"/>
      <c r="I26"/>
      <c r="J26"/>
      <c r="K26"/>
      <c r="L26"/>
      <c r="M26" s="2"/>
    </row>
    <row r="27" spans="1:17" x14ac:dyDescent="0.2">
      <c r="B27"/>
      <c r="C27" s="110"/>
      <c r="D27" s="110"/>
      <c r="E27" s="110"/>
      <c r="F27" s="111"/>
      <c r="G27"/>
      <c r="H27"/>
      <c r="I27"/>
      <c r="J27"/>
      <c r="K27"/>
      <c r="L27"/>
      <c r="M27" s="2"/>
    </row>
    <row r="28" spans="1:17" x14ac:dyDescent="0.2">
      <c r="A28" s="106" t="s">
        <v>124</v>
      </c>
      <c r="B28" t="s">
        <v>248</v>
      </c>
      <c r="C28" s="77">
        <f>ROUND('3.3b'!$G$56,3)</f>
        <v>1.7000000000000001E-2</v>
      </c>
      <c r="D28" s="77">
        <f>ROUND('3.3c'!$G$56,3)</f>
        <v>1.9E-2</v>
      </c>
      <c r="E28" s="77">
        <f>ROUND('3.3d'!$G$58,3)</f>
        <v>1.0999999999999999E-2</v>
      </c>
      <c r="F28" s="77">
        <f>ROUND(SUMPRODUCT(C28:E28,$O28:$Q28)/SUMIF(C28:E28,"&gt;0",$O28:$Q28),3)</f>
        <v>1.7000000000000001E-2</v>
      </c>
      <c r="G28"/>
      <c r="H28"/>
      <c r="I28"/>
      <c r="J28"/>
      <c r="K28"/>
      <c r="L28"/>
      <c r="M28" s="2"/>
      <c r="O28" s="128">
        <v>0</v>
      </c>
      <c r="P28" s="128">
        <v>0.75</v>
      </c>
      <c r="Q28" s="128">
        <v>0.25</v>
      </c>
    </row>
    <row r="29" spans="1:17" x14ac:dyDescent="0.2">
      <c r="A29" s="112"/>
      <c r="B29" s="113"/>
      <c r="C29" s="50"/>
      <c r="D29" s="50"/>
      <c r="E29" s="50"/>
      <c r="F29" s="29"/>
      <c r="G29" s="50"/>
      <c r="H29" s="50"/>
      <c r="I29" s="50"/>
      <c r="J29" s="50"/>
      <c r="K29" s="50"/>
      <c r="L29" s="50"/>
      <c r="M29" s="2"/>
    </row>
    <row r="30" spans="1:17" x14ac:dyDescent="0.2">
      <c r="A30" s="106" t="s">
        <v>123</v>
      </c>
      <c r="B30" s="113" t="s">
        <v>250</v>
      </c>
      <c r="C30" s="105">
        <f>ROUND((1+C28)^$N$32,3)</f>
        <v>1.0469999999999999</v>
      </c>
      <c r="D30" s="105">
        <f>ROUND((1+D28)^$N$32,3)</f>
        <v>1.0529999999999999</v>
      </c>
      <c r="E30" s="105">
        <f>ROUND((1+E28)^$N$32,3)</f>
        <v>1.0309999999999999</v>
      </c>
      <c r="F30" s="105">
        <f>ROUND((1+F28)^$N$32,3)</f>
        <v>1.0469999999999999</v>
      </c>
      <c r="G30" s="50"/>
      <c r="H30" s="50"/>
      <c r="I30" s="50"/>
      <c r="J30" s="50"/>
      <c r="K30" s="50"/>
      <c r="L30" s="50"/>
      <c r="M30" s="2"/>
      <c r="O30" s="12" t="s">
        <v>249</v>
      </c>
    </row>
    <row r="31" spans="1:17" ht="12" thickBot="1" x14ac:dyDescent="0.25">
      <c r="A31" s="6"/>
      <c r="B31" s="6"/>
      <c r="C31" s="6"/>
      <c r="D31" s="6"/>
      <c r="E31" s="6"/>
      <c r="F31" s="6"/>
      <c r="G31" s="50"/>
      <c r="H31" s="50"/>
      <c r="I31" s="50"/>
      <c r="J31" s="50"/>
      <c r="K31" s="50"/>
      <c r="L31" s="50"/>
      <c r="M31" s="2"/>
      <c r="N31" s="12" t="s">
        <v>222</v>
      </c>
      <c r="O31" s="197" t="s">
        <v>228</v>
      </c>
      <c r="P31" s="197" t="s">
        <v>229</v>
      </c>
    </row>
    <row r="32" spans="1:17" ht="12" thickTop="1" x14ac:dyDescent="0.2">
      <c r="A32"/>
      <c r="B32"/>
      <c r="C32"/>
      <c r="D32"/>
      <c r="E32"/>
      <c r="F32"/>
      <c r="G32" s="50"/>
      <c r="H32" s="50"/>
      <c r="I32" s="50"/>
      <c r="J32" s="50"/>
      <c r="K32" s="50"/>
      <c r="L32" s="50"/>
      <c r="M32" s="2"/>
      <c r="N32" s="114">
        <f>YEAR(P32)-YEAR(O32)+(MONTH(P32)-MONTH(O32))/12</f>
        <v>2.75</v>
      </c>
      <c r="O32" s="245">
        <f>DATE(YEAR(N9+1),MONTH(N9+1)-6,1)</f>
        <v>43556</v>
      </c>
      <c r="P32" s="245">
        <f>'trend 2.5'!$I$15</f>
        <v>44562</v>
      </c>
    </row>
    <row r="33" spans="1:17" x14ac:dyDescent="0.2">
      <c r="A33" t="s">
        <v>17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7" x14ac:dyDescent="0.2">
      <c r="A34"/>
      <c r="B34" s="22" t="str">
        <f>C12&amp;" = "&amp;'3.3b'!$L$1&amp;", "&amp;'3.3b'!$L$2&amp;" trended forward to "&amp;TEXT($N$9,"m/d/yyyy")</f>
        <v>(2) = Exhibit 3, Sheet 3b trended forward to 9/30/2019</v>
      </c>
      <c r="F34"/>
      <c r="G34"/>
      <c r="J34"/>
      <c r="K34"/>
      <c r="L34"/>
      <c r="M34" s="2"/>
    </row>
    <row r="35" spans="1:17" x14ac:dyDescent="0.2">
      <c r="A35"/>
      <c r="B35" s="22" t="str">
        <f>D12&amp;" = "&amp;'3.3c'!$L$1&amp;", "&amp;'3.3c'!$L$2&amp;" trended forward to "&amp;TEXT($N$9,"m/d/yyyy")</f>
        <v>(3) = Exhibit 3, Sheet 3c trended forward to 9/30/2019</v>
      </c>
      <c r="C35"/>
      <c r="D35"/>
      <c r="E35"/>
      <c r="F35"/>
      <c r="H35"/>
      <c r="I35"/>
      <c r="J35"/>
      <c r="K35"/>
      <c r="L35"/>
      <c r="M35" s="2"/>
    </row>
    <row r="36" spans="1:17" x14ac:dyDescent="0.2">
      <c r="A36"/>
      <c r="B36" s="22" t="str">
        <f>E12&amp;" = "&amp;'3.3d'!$L$1&amp;", "&amp;'3.3d'!$L$2</f>
        <v>(4) = Exhibit 3, Sheet 3d</v>
      </c>
      <c r="D36"/>
      <c r="E36"/>
      <c r="F36"/>
      <c r="H36"/>
      <c r="I36"/>
      <c r="J36"/>
      <c r="K36"/>
      <c r="L36"/>
      <c r="M36" s="2"/>
    </row>
    <row r="37" spans="1:17" x14ac:dyDescent="0.2">
      <c r="A37"/>
      <c r="B37" s="22" t="str">
        <f>F12&amp;" = 25% "&amp;E11&amp;" and 75% "&amp;D11&amp;" (most appropriate available by year)"</f>
        <v>(5) = 25% CPI and 75% Boeckh (most appropriate available by year)</v>
      </c>
      <c r="C37"/>
      <c r="D37"/>
      <c r="E37"/>
      <c r="F37"/>
      <c r="H37"/>
      <c r="I37"/>
      <c r="J37"/>
      <c r="K37"/>
      <c r="L37"/>
      <c r="M37" s="2"/>
    </row>
    <row r="38" spans="1:17" x14ac:dyDescent="0.2">
      <c r="B38" s="12" t="str">
        <f>A28&amp;" = "&amp;C12&amp;" - "&amp;F12&amp;" fitted to an exponential curve using 5 years' data"</f>
        <v>(6) = (2) - (5) fitted to an exponential curve using 5 years' data</v>
      </c>
      <c r="L38"/>
      <c r="M38" s="2"/>
    </row>
    <row r="39" spans="1:17" x14ac:dyDescent="0.2">
      <c r="A39" s="115"/>
      <c r="B39" s="113" t="str">
        <f>A30&amp;" = [1 + "&amp;A28&amp;"] ^ "&amp;$N$32&amp;" (trended from "&amp;TEXT($O$32,"m/d/yyyy")&amp;" to "&amp;TEXT($P$32,"m/d/yyyy")&amp;")"</f>
        <v>(7) = [1 + (6)] ^ 2.75 (trended from 4/1/2019 to 1/1/2022)</v>
      </c>
      <c r="C39" s="103"/>
      <c r="D39" s="104"/>
      <c r="E39" s="104"/>
      <c r="F39" s="36"/>
      <c r="G39" s="105"/>
      <c r="H39" s="49"/>
      <c r="I39" s="49"/>
      <c r="J39" s="64"/>
      <c r="K39" s="64"/>
      <c r="L39" s="64"/>
      <c r="M39" s="2"/>
    </row>
    <row r="40" spans="1:17" x14ac:dyDescent="0.2">
      <c r="A40" s="115"/>
      <c r="B40" s="113"/>
      <c r="C40" s="103"/>
      <c r="D40" s="104"/>
      <c r="E40" s="104"/>
      <c r="F40" s="29"/>
      <c r="G40" s="105"/>
      <c r="H40" s="49"/>
      <c r="I40" s="49"/>
      <c r="J40" s="64"/>
      <c r="K40" s="64"/>
      <c r="L40" s="64"/>
      <c r="M40" s="2"/>
    </row>
    <row r="41" spans="1:17" x14ac:dyDescent="0.2">
      <c r="A41" s="116"/>
      <c r="B41" s="113"/>
      <c r="C41" s="103"/>
      <c r="D41" s="104"/>
      <c r="E41" s="104"/>
      <c r="F41" s="29"/>
      <c r="G41" s="105"/>
      <c r="H41" s="49"/>
      <c r="I41" s="49"/>
      <c r="J41" s="64"/>
      <c r="K41" s="64"/>
      <c r="L41" s="64"/>
      <c r="M41" s="2"/>
    </row>
    <row r="42" spans="1:17" x14ac:dyDescent="0.2">
      <c r="A42" s="50"/>
      <c r="B42" s="50"/>
      <c r="C42" s="64"/>
      <c r="D42" s="64"/>
      <c r="E42" s="64"/>
      <c r="F42" s="64"/>
      <c r="G42"/>
      <c r="H42"/>
      <c r="I42"/>
      <c r="J42"/>
      <c r="K42"/>
      <c r="L42"/>
      <c r="M42" s="2"/>
      <c r="Q42"/>
    </row>
    <row r="43" spans="1:17" x14ac:dyDescent="0.2">
      <c r="A43" s="116"/>
      <c r="B43" s="113"/>
      <c r="C43" s="103"/>
      <c r="D43" s="104"/>
      <c r="E43" s="104"/>
      <c r="F43" s="29"/>
      <c r="G43" s="105"/>
      <c r="H43" s="49"/>
      <c r="I43" s="49"/>
      <c r="J43" s="64"/>
      <c r="K43" s="64"/>
      <c r="L43" s="64"/>
      <c r="M43" s="2"/>
    </row>
    <row r="44" spans="1:17" x14ac:dyDescent="0.2">
      <c r="A44" s="50"/>
      <c r="B44" s="51"/>
      <c r="C44" s="103"/>
      <c r="D44" s="104"/>
      <c r="E44" s="104"/>
      <c r="F44" s="29"/>
      <c r="G44" s="105"/>
      <c r="H44" s="49"/>
      <c r="I44" s="49"/>
      <c r="J44" s="64"/>
      <c r="K44" s="64"/>
      <c r="L44" s="64"/>
      <c r="M44" s="2"/>
    </row>
    <row r="45" spans="1:17" x14ac:dyDescent="0.2">
      <c r="A45" s="116"/>
      <c r="B45" s="51"/>
      <c r="C45" s="103"/>
      <c r="D45" s="104"/>
      <c r="E45" s="104"/>
      <c r="F45" s="29"/>
      <c r="G45" s="105"/>
      <c r="H45" s="49"/>
      <c r="I45" s="49"/>
      <c r="J45" s="64"/>
      <c r="K45" s="64"/>
      <c r="L45" s="64"/>
      <c r="M45" s="2"/>
    </row>
    <row r="46" spans="1:17" x14ac:dyDescent="0.2">
      <c r="A46"/>
      <c r="B46" s="22"/>
      <c r="C46"/>
      <c r="D46"/>
      <c r="E46"/>
      <c r="F46"/>
      <c r="G46"/>
      <c r="H46"/>
      <c r="I46"/>
      <c r="L46"/>
      <c r="M46" s="2"/>
    </row>
    <row r="47" spans="1:17" x14ac:dyDescent="0.2">
      <c r="A47"/>
      <c r="B47" s="22"/>
      <c r="C47"/>
      <c r="D47"/>
      <c r="E47"/>
      <c r="F47"/>
      <c r="H47"/>
      <c r="I47"/>
      <c r="J47"/>
      <c r="K47"/>
      <c r="L47"/>
      <c r="M47" s="2"/>
    </row>
    <row r="48" spans="1:17" x14ac:dyDescent="0.2">
      <c r="A48" s="50"/>
      <c r="B48" s="22"/>
      <c r="C48" s="103"/>
      <c r="D48" s="104"/>
      <c r="E48" s="104"/>
      <c r="F48" s="105"/>
      <c r="G48" s="105"/>
      <c r="H48" s="49"/>
      <c r="I48" s="49"/>
      <c r="J48" s="64"/>
      <c r="K48" s="64"/>
      <c r="L48" s="64"/>
      <c r="M48" s="2"/>
    </row>
    <row r="49" spans="1:13" x14ac:dyDescent="0.2">
      <c r="A49" s="50"/>
      <c r="B49" s="22"/>
      <c r="C49" s="103"/>
      <c r="D49" s="104"/>
      <c r="E49" s="104"/>
      <c r="F49" s="105"/>
      <c r="G49" s="105"/>
      <c r="H49" s="49"/>
      <c r="I49" s="49"/>
      <c r="J49" s="64"/>
      <c r="K49" s="64"/>
      <c r="L49" s="64"/>
      <c r="M49" s="2"/>
    </row>
    <row r="50" spans="1:13" x14ac:dyDescent="0.2">
      <c r="A50" s="50"/>
      <c r="B50" s="22"/>
      <c r="C50" s="103"/>
      <c r="D50" s="104"/>
      <c r="E50" s="104"/>
      <c r="F50" s="105"/>
      <c r="G50" s="105"/>
      <c r="H50" s="49"/>
      <c r="I50" s="49"/>
      <c r="J50" s="64"/>
      <c r="K50" s="64"/>
      <c r="L50" s="64"/>
      <c r="M50" s="2"/>
    </row>
    <row r="51" spans="1:13" x14ac:dyDescent="0.2">
      <c r="A51" s="50"/>
      <c r="B51" s="22"/>
      <c r="C51" s="58"/>
      <c r="D51" s="50"/>
      <c r="E51" s="50"/>
      <c r="F51" s="50"/>
      <c r="G51" s="58"/>
      <c r="H51" s="58"/>
      <c r="I51" s="58"/>
      <c r="J51" s="58"/>
      <c r="K51" s="58"/>
      <c r="L51" s="50"/>
      <c r="M51" s="2"/>
    </row>
    <row r="52" spans="1:13" x14ac:dyDescent="0.2">
      <c r="A52" s="50"/>
      <c r="C52" s="58"/>
      <c r="D52" s="58"/>
      <c r="E52" s="50"/>
      <c r="F52" s="58"/>
      <c r="G52" s="58"/>
      <c r="H52" s="58"/>
      <c r="I52" s="58"/>
      <c r="J52" s="64"/>
      <c r="K52" s="64"/>
      <c r="L52"/>
      <c r="M52" s="2"/>
    </row>
    <row r="53" spans="1:13" x14ac:dyDescent="0.2">
      <c r="A53" s="115"/>
      <c r="B53" s="113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92D050"/>
  </sheetPr>
  <dimension ref="A1:Q63"/>
  <sheetViews>
    <sheetView showGridLines="0" workbookViewId="0">
      <selection activeCell="D64" sqref="D64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7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</row>
    <row r="2" spans="1:17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57</v>
      </c>
      <c r="M2" s="2"/>
    </row>
    <row r="3" spans="1:17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109" t="s">
        <v>236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109" t="s">
        <v>251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7" ht="12" thickTop="1" x14ac:dyDescent="0.2">
      <c r="A8"/>
      <c r="B8"/>
      <c r="C8"/>
      <c r="D8"/>
      <c r="E8"/>
      <c r="F8"/>
      <c r="G8" s="50"/>
      <c r="H8"/>
      <c r="I8" s="50"/>
      <c r="J8"/>
      <c r="K8" s="50"/>
      <c r="L8" s="50"/>
      <c r="M8" s="2"/>
      <c r="N8" t="s">
        <v>238</v>
      </c>
    </row>
    <row r="9" spans="1:17" x14ac:dyDescent="0.2">
      <c r="A9"/>
      <c r="B9"/>
      <c r="C9" s="22" t="s">
        <v>252</v>
      </c>
      <c r="D9" s="10" t="s">
        <v>253</v>
      </c>
      <c r="E9"/>
      <c r="F9"/>
      <c r="G9"/>
      <c r="H9"/>
      <c r="I9"/>
      <c r="J9"/>
      <c r="K9"/>
      <c r="L9"/>
      <c r="M9" s="2"/>
      <c r="N9" s="91">
        <v>43830</v>
      </c>
    </row>
    <row r="10" spans="1:17" x14ac:dyDescent="0.2">
      <c r="A10" t="s">
        <v>239</v>
      </c>
      <c r="B10"/>
      <c r="C10" t="s">
        <v>240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  <c r="P10"/>
      <c r="Q10"/>
    </row>
    <row r="11" spans="1:17" x14ac:dyDescent="0.2">
      <c r="A11" s="9" t="s">
        <v>34</v>
      </c>
      <c r="B11" s="9"/>
      <c r="C11" s="9" t="s">
        <v>235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  <c r="Q11"/>
    </row>
    <row r="12" spans="1:17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  <c r="O13"/>
      <c r="Q13"/>
    </row>
    <row r="14" spans="1:17" x14ac:dyDescent="0.2">
      <c r="A14" s="12" t="str">
        <f t="shared" ref="A14:A51" si="1">TEXT(DATE(YEAR(A15+1),MONTH(A15+1)-3,1)-1,"m/d/yyyy")</f>
        <v>3/31/2010</v>
      </c>
      <c r="B14" s="25"/>
      <c r="C14" s="226">
        <f>'[3]Boeckh (R)'!$D54</f>
        <v>2047.257665078125</v>
      </c>
      <c r="D14" s="118">
        <f>TREND($C$14:$C$53,$N$14:$N$53,$N14,TRUE)</f>
        <v>2025.3869556121208</v>
      </c>
      <c r="E14" s="118">
        <f>GROWTH($C$14:$C$53,$N$14:$N$53,$N14,TRUE)</f>
        <v>2031.8522443672034</v>
      </c>
      <c r="F14" s="36"/>
      <c r="G14"/>
      <c r="H14" s="36"/>
      <c r="I14"/>
      <c r="J14" s="36"/>
      <c r="K14"/>
      <c r="L14"/>
      <c r="M14" s="2"/>
      <c r="N14" s="12">
        <f t="shared" ref="N14:N53" si="2">YEAR(A14)+MONTH(A14)/12</f>
        <v>2010.25</v>
      </c>
      <c r="O14"/>
      <c r="Q14"/>
    </row>
    <row r="15" spans="1:17" x14ac:dyDescent="0.2">
      <c r="A15" s="12" t="str">
        <f t="shared" si="1"/>
        <v>6/30/2010</v>
      </c>
      <c r="B15" s="25"/>
      <c r="C15" s="226">
        <f>'[3]Boeckh (R)'!$D55</f>
        <v>2046.154365859375</v>
      </c>
      <c r="D15" s="118">
        <f t="shared" ref="D15:D53" si="3">TREND($C$14:$C$53,$N$14:$N$53,$N15,TRUE)</f>
        <v>2036.7425430524891</v>
      </c>
      <c r="E15" s="118">
        <f t="shared" ref="E15:E53" si="4">GROWTH($C$14:$C$53,$N$14:$N$53,$N15,TRUE)</f>
        <v>2042.1734351316097</v>
      </c>
      <c r="F15" s="36"/>
      <c r="G15"/>
      <c r="H15" s="36"/>
      <c r="I15"/>
      <c r="J15" s="36"/>
      <c r="K15"/>
      <c r="L15"/>
      <c r="M15" s="2"/>
      <c r="N15" s="12">
        <f t="shared" si="2"/>
        <v>2010.5</v>
      </c>
      <c r="O15" s="17"/>
      <c r="P15" s="17"/>
      <c r="Q15" s="17"/>
    </row>
    <row r="16" spans="1:17" x14ac:dyDescent="0.2">
      <c r="A16" s="12" t="str">
        <f t="shared" si="1"/>
        <v>9/30/2010</v>
      </c>
      <c r="B16" s="25"/>
      <c r="C16" s="226">
        <f>'[3]Boeckh (R)'!$D56</f>
        <v>2050.5288351093745</v>
      </c>
      <c r="D16" s="118">
        <f t="shared" si="3"/>
        <v>2048.0981304928428</v>
      </c>
      <c r="E16" s="118">
        <f t="shared" si="4"/>
        <v>2052.547054402612</v>
      </c>
      <c r="F16" s="36"/>
      <c r="G16"/>
      <c r="H16" s="36"/>
      <c r="I16"/>
      <c r="J16" s="36"/>
      <c r="K16"/>
      <c r="L16"/>
      <c r="M16" s="2"/>
      <c r="N16" s="12">
        <f t="shared" si="2"/>
        <v>2010.75</v>
      </c>
      <c r="O16"/>
      <c r="Q16"/>
    </row>
    <row r="17" spans="1:17" x14ac:dyDescent="0.2">
      <c r="A17" s="12" t="str">
        <f t="shared" si="1"/>
        <v>12/31/2010</v>
      </c>
      <c r="B17" s="25"/>
      <c r="C17" s="226">
        <f>'[3]Boeckh (R)'!$D57</f>
        <v>2057.9538435022323</v>
      </c>
      <c r="D17" s="118">
        <f t="shared" si="3"/>
        <v>2059.453717933211</v>
      </c>
      <c r="E17" s="118">
        <f t="shared" si="4"/>
        <v>2062.9733685010606</v>
      </c>
      <c r="F17" s="36"/>
      <c r="G17"/>
      <c r="H17" s="36"/>
      <c r="I17"/>
      <c r="J17" s="36"/>
      <c r="K17"/>
      <c r="L17"/>
      <c r="M17" s="2"/>
      <c r="N17" s="12">
        <f t="shared" si="2"/>
        <v>2011</v>
      </c>
      <c r="O17"/>
      <c r="Q17"/>
    </row>
    <row r="18" spans="1:17" x14ac:dyDescent="0.2">
      <c r="A18" s="12" t="str">
        <f t="shared" si="1"/>
        <v>3/31/2011</v>
      </c>
      <c r="B18" s="25"/>
      <c r="C18" s="226">
        <f>'[3]Boeckh (R)'!$D58</f>
        <v>2065.1042416763394</v>
      </c>
      <c r="D18" s="118">
        <f t="shared" si="3"/>
        <v>2070.8093053735647</v>
      </c>
      <c r="E18" s="118">
        <f t="shared" si="4"/>
        <v>2073.45264510062</v>
      </c>
      <c r="F18" s="36"/>
      <c r="G18"/>
      <c r="H18" s="36"/>
      <c r="I18"/>
      <c r="J18" s="36"/>
      <c r="K18"/>
      <c r="L18"/>
      <c r="M18" s="2"/>
      <c r="N18" s="12">
        <f t="shared" si="2"/>
        <v>2011.25</v>
      </c>
      <c r="Q18"/>
    </row>
    <row r="19" spans="1:17" x14ac:dyDescent="0.2">
      <c r="A19" s="12" t="str">
        <f t="shared" si="1"/>
        <v>6/30/2011</v>
      </c>
      <c r="B19" s="25"/>
      <c r="C19" s="226">
        <f>'[3]Boeckh (R)'!$D59</f>
        <v>2070.208705448661</v>
      </c>
      <c r="D19" s="118">
        <f t="shared" si="3"/>
        <v>2082.164892813933</v>
      </c>
      <c r="E19" s="118">
        <f t="shared" si="4"/>
        <v>2083.9851532347002</v>
      </c>
      <c r="F19" s="36"/>
      <c r="G19"/>
      <c r="H19" s="36"/>
      <c r="I19"/>
      <c r="J19" s="36"/>
      <c r="K19"/>
      <c r="L19"/>
      <c r="M19" s="2"/>
      <c r="N19" s="12">
        <f t="shared" si="2"/>
        <v>2011.5</v>
      </c>
      <c r="Q19"/>
    </row>
    <row r="20" spans="1:17" x14ac:dyDescent="0.2">
      <c r="A20" s="12" t="str">
        <f t="shared" si="1"/>
        <v>9/30/2011</v>
      </c>
      <c r="B20" s="25"/>
      <c r="C20" s="226">
        <f>'[3]Boeckh (R)'!$D60</f>
        <v>2075.7667736205358</v>
      </c>
      <c r="D20" s="118">
        <f t="shared" si="3"/>
        <v>2093.5204802542867</v>
      </c>
      <c r="E20" s="118">
        <f t="shared" si="4"/>
        <v>2094.5711633032743</v>
      </c>
      <c r="F20" s="36"/>
      <c r="G20"/>
      <c r="H20" s="36"/>
      <c r="I20"/>
      <c r="J20" s="36"/>
      <c r="K20"/>
      <c r="L20"/>
      <c r="M20" s="2"/>
      <c r="N20" s="12">
        <f t="shared" si="2"/>
        <v>2011.75</v>
      </c>
      <c r="Q20"/>
    </row>
    <row r="21" spans="1:17" x14ac:dyDescent="0.2">
      <c r="A21" s="12" t="str">
        <f t="shared" si="1"/>
        <v>12/31/2011</v>
      </c>
      <c r="B21" s="25"/>
      <c r="C21" s="226">
        <f>'[3]Boeckh (R)'!$D61</f>
        <v>2083.1629894464286</v>
      </c>
      <c r="D21" s="118">
        <f>TREND($C$14:$C$53,$N$14:$N$53,$N21,TRUE)</f>
        <v>2104.8760676946549</v>
      </c>
      <c r="E21" s="118">
        <f t="shared" si="4"/>
        <v>2105.21094707988</v>
      </c>
      <c r="F21" s="36"/>
      <c r="G21"/>
      <c r="H21" s="36"/>
      <c r="I21"/>
      <c r="J21" s="36"/>
      <c r="K21"/>
      <c r="L21"/>
      <c r="M21" s="2"/>
      <c r="N21" s="12">
        <f t="shared" si="2"/>
        <v>2012</v>
      </c>
      <c r="Q21"/>
    </row>
    <row r="22" spans="1:17" x14ac:dyDescent="0.2">
      <c r="A22" s="12" t="str">
        <f t="shared" si="1"/>
        <v>3/31/2012</v>
      </c>
      <c r="B22" s="25"/>
      <c r="C22" s="226">
        <f>'[3]Boeckh (R)'!$D62</f>
        <v>2092.6853822098215</v>
      </c>
      <c r="D22" s="118">
        <f t="shared" si="3"/>
        <v>2116.2316551350086</v>
      </c>
      <c r="E22" s="118">
        <f t="shared" si="4"/>
        <v>2115.904777718581</v>
      </c>
      <c r="F22" s="36"/>
      <c r="G22"/>
      <c r="H22" s="36"/>
      <c r="I22"/>
      <c r="J22" s="36"/>
      <c r="K22"/>
      <c r="L22"/>
      <c r="M22" s="2"/>
      <c r="N22" s="12">
        <f t="shared" si="2"/>
        <v>2012.25</v>
      </c>
      <c r="Q22"/>
    </row>
    <row r="23" spans="1:17" x14ac:dyDescent="0.2">
      <c r="A23" s="12" t="str">
        <f t="shared" si="1"/>
        <v>6/30/2012</v>
      </c>
      <c r="B23" s="51"/>
      <c r="C23" s="226">
        <f>'[3]Boeckh (R)'!$D63</f>
        <v>2103.67658390625</v>
      </c>
      <c r="D23" s="118">
        <f t="shared" si="3"/>
        <v>2127.5872425753623</v>
      </c>
      <c r="E23" s="118">
        <f t="shared" si="4"/>
        <v>2126.6529297609673</v>
      </c>
      <c r="F23" s="36"/>
      <c r="G23"/>
      <c r="H23" s="36"/>
      <c r="I23"/>
      <c r="J23" s="36"/>
      <c r="K23"/>
      <c r="L23"/>
      <c r="M23" s="2"/>
      <c r="N23" s="12">
        <f t="shared" si="2"/>
        <v>2012.5</v>
      </c>
      <c r="Q23"/>
    </row>
    <row r="24" spans="1:17" x14ac:dyDescent="0.2">
      <c r="A24" s="12" t="str">
        <f t="shared" si="1"/>
        <v>9/30/2012</v>
      </c>
      <c r="B24"/>
      <c r="C24" s="226">
        <f>'[3]Boeckh (R)'!$D64</f>
        <v>2121.4649248437499</v>
      </c>
      <c r="D24" s="118">
        <f t="shared" si="3"/>
        <v>2138.9428300157306</v>
      </c>
      <c r="E24" s="118">
        <f t="shared" si="4"/>
        <v>2137.4556791432592</v>
      </c>
      <c r="F24"/>
      <c r="G24"/>
      <c r="H24"/>
      <c r="I24"/>
      <c r="J24"/>
      <c r="K24"/>
      <c r="L24"/>
      <c r="M24" s="2"/>
      <c r="N24" s="12">
        <f t="shared" si="2"/>
        <v>2012.75</v>
      </c>
      <c r="Q24"/>
    </row>
    <row r="25" spans="1:17" x14ac:dyDescent="0.2">
      <c r="A25" s="12" t="str">
        <f t="shared" si="1"/>
        <v>12/31/2012</v>
      </c>
      <c r="B25"/>
      <c r="C25" s="226">
        <f>'[3]Boeckh (R)'!$D65</f>
        <v>2139.9674865625002</v>
      </c>
      <c r="D25" s="118">
        <f t="shared" si="3"/>
        <v>2150.2984174560843</v>
      </c>
      <c r="E25" s="118">
        <f t="shared" si="4"/>
        <v>2148.3133032033061</v>
      </c>
      <c r="F25"/>
      <c r="G25"/>
      <c r="H25"/>
      <c r="I25"/>
      <c r="J25"/>
      <c r="K25"/>
      <c r="L25"/>
      <c r="M25" s="2"/>
      <c r="N25" s="12">
        <f t="shared" si="2"/>
        <v>2013</v>
      </c>
      <c r="Q25"/>
    </row>
    <row r="26" spans="1:17" x14ac:dyDescent="0.2">
      <c r="A26" s="12" t="str">
        <f t="shared" si="1"/>
        <v>3/31/2013</v>
      </c>
      <c r="B26"/>
      <c r="C26" s="226">
        <f>'[3]Boeckh (R)'!$D66</f>
        <v>2155.4573617968749</v>
      </c>
      <c r="D26" s="118">
        <f t="shared" si="3"/>
        <v>2161.6540048964525</v>
      </c>
      <c r="E26" s="118">
        <f t="shared" si="4"/>
        <v>2159.226080687763</v>
      </c>
      <c r="F26"/>
      <c r="G26"/>
      <c r="H26"/>
      <c r="I26"/>
      <c r="J26"/>
      <c r="K26"/>
      <c r="L26"/>
      <c r="M26" s="2"/>
      <c r="N26" s="12">
        <f t="shared" si="2"/>
        <v>2013.25</v>
      </c>
    </row>
    <row r="27" spans="1:17" x14ac:dyDescent="0.2">
      <c r="A27" s="12" t="str">
        <f t="shared" si="1"/>
        <v>6/30/2013</v>
      </c>
      <c r="B27"/>
      <c r="C27" s="226">
        <f>'[3]Boeckh (R)'!$D67</f>
        <v>2172.5562767187498</v>
      </c>
      <c r="D27" s="118">
        <f t="shared" si="3"/>
        <v>2173.0095923368062</v>
      </c>
      <c r="E27" s="118">
        <f t="shared" si="4"/>
        <v>2170.1942917592332</v>
      </c>
      <c r="F27"/>
      <c r="G27"/>
      <c r="H27"/>
      <c r="I27"/>
      <c r="J27"/>
      <c r="K27"/>
      <c r="L27"/>
      <c r="M27" s="2"/>
      <c r="N27" s="12">
        <f t="shared" si="2"/>
        <v>2013.5</v>
      </c>
    </row>
    <row r="28" spans="1:17" x14ac:dyDescent="0.2">
      <c r="A28" s="12" t="str">
        <f t="shared" si="1"/>
        <v>9/30/2013</v>
      </c>
      <c r="B28"/>
      <c r="C28" s="226">
        <f>'[3]Boeckh (R)'!$D68</f>
        <v>2188.3282736718747</v>
      </c>
      <c r="D28" s="118">
        <f t="shared" si="3"/>
        <v>2184.3651797771745</v>
      </c>
      <c r="E28" s="118">
        <f t="shared" si="4"/>
        <v>2181.2182180034611</v>
      </c>
      <c r="F28"/>
      <c r="G28"/>
      <c r="H28"/>
      <c r="I28"/>
      <c r="J28"/>
      <c r="K28"/>
      <c r="L28"/>
      <c r="M28" s="2"/>
      <c r="N28" s="12">
        <f t="shared" si="2"/>
        <v>2013.75</v>
      </c>
    </row>
    <row r="29" spans="1:17" x14ac:dyDescent="0.2">
      <c r="A29" s="12" t="str">
        <f t="shared" si="1"/>
        <v>12/31/2013</v>
      </c>
      <c r="B29"/>
      <c r="C29" s="226">
        <f>'[3]Boeckh (R)'!$D69</f>
        <v>2202.6592412500004</v>
      </c>
      <c r="D29" s="118">
        <f t="shared" si="3"/>
        <v>2195.7207672175282</v>
      </c>
      <c r="E29" s="118">
        <f t="shared" si="4"/>
        <v>2192.2981424365453</v>
      </c>
      <c r="F29"/>
      <c r="G29"/>
      <c r="H29"/>
      <c r="I29"/>
      <c r="J29"/>
      <c r="K29"/>
      <c r="L29"/>
      <c r="M29" s="2"/>
      <c r="N29" s="12">
        <f t="shared" si="2"/>
        <v>2014</v>
      </c>
    </row>
    <row r="30" spans="1:17" x14ac:dyDescent="0.2">
      <c r="A30" s="12" t="str">
        <f t="shared" si="1"/>
        <v>3/31/2014</v>
      </c>
      <c r="B30"/>
      <c r="C30" s="226">
        <f>'[3]Boeckh (R)'!$D70</f>
        <v>2219.6668832812502</v>
      </c>
      <c r="D30" s="118">
        <f t="shared" si="3"/>
        <v>2207.0763546578964</v>
      </c>
      <c r="E30" s="118">
        <f t="shared" si="4"/>
        <v>2203.4343495122662</v>
      </c>
      <c r="F30"/>
      <c r="G30"/>
      <c r="H30"/>
      <c r="I30"/>
      <c r="J30"/>
      <c r="K30"/>
      <c r="L30"/>
      <c r="M30" s="2"/>
      <c r="N30" s="12">
        <f t="shared" si="2"/>
        <v>2014.25</v>
      </c>
      <c r="O30" s="114"/>
      <c r="P30" s="86"/>
    </row>
    <row r="31" spans="1:17" x14ac:dyDescent="0.2">
      <c r="A31" s="12" t="str">
        <f t="shared" si="1"/>
        <v>6/30/2014</v>
      </c>
      <c r="B31" s="113"/>
      <c r="C31" s="226">
        <f>'[3]Boeckh (R)'!$D71</f>
        <v>2239.006476171875</v>
      </c>
      <c r="D31" s="118">
        <f t="shared" si="3"/>
        <v>2218.4319420982501</v>
      </c>
      <c r="E31" s="118">
        <f t="shared" si="4"/>
        <v>2214.6271251292969</v>
      </c>
      <c r="F31" s="29"/>
      <c r="G31" s="105"/>
      <c r="H31" s="29"/>
      <c r="I31" s="105"/>
      <c r="J31" s="29"/>
      <c r="K31" s="105"/>
      <c r="L31" s="105"/>
      <c r="M31" s="2"/>
      <c r="N31" s="12">
        <f t="shared" si="2"/>
        <v>2014.5</v>
      </c>
    </row>
    <row r="32" spans="1:17" x14ac:dyDescent="0.2">
      <c r="A32" s="12" t="str">
        <f t="shared" si="1"/>
        <v>9/30/2014</v>
      </c>
      <c r="B32" s="113"/>
      <c r="C32" s="226">
        <f>'[3]Boeckh (R)'!$D72</f>
        <v>2257.4206734374998</v>
      </c>
      <c r="D32" s="118">
        <f t="shared" si="3"/>
        <v>2229.7875295386038</v>
      </c>
      <c r="E32" s="118">
        <f t="shared" si="4"/>
        <v>2225.8767566386032</v>
      </c>
      <c r="F32" s="29"/>
      <c r="G32" s="105"/>
      <c r="H32" s="29"/>
      <c r="I32" s="105"/>
      <c r="J32" s="29"/>
      <c r="K32" s="105"/>
      <c r="L32" s="105"/>
      <c r="M32" s="2"/>
      <c r="N32" s="12">
        <f t="shared" si="2"/>
        <v>2014.75</v>
      </c>
    </row>
    <row r="33" spans="1:14" x14ac:dyDescent="0.2">
      <c r="A33" s="12" t="str">
        <f t="shared" si="1"/>
        <v>12/31/2014</v>
      </c>
      <c r="B33" s="51"/>
      <c r="C33" s="226">
        <f>'[3]Boeckh (R)'!$D73</f>
        <v>2275.5617031249999</v>
      </c>
      <c r="D33" s="118">
        <f t="shared" si="3"/>
        <v>2241.1431169789721</v>
      </c>
      <c r="E33" s="118">
        <f t="shared" si="4"/>
        <v>2237.1835328508078</v>
      </c>
      <c r="F33" s="29"/>
      <c r="G33" s="105"/>
      <c r="H33" s="29"/>
      <c r="I33" s="105"/>
      <c r="J33" s="29"/>
      <c r="K33" s="105"/>
      <c r="L33" s="105"/>
      <c r="M33" s="2"/>
      <c r="N33" s="12">
        <f t="shared" si="2"/>
        <v>2015</v>
      </c>
    </row>
    <row r="34" spans="1:14" x14ac:dyDescent="0.2">
      <c r="A34" s="12" t="str">
        <f t="shared" si="1"/>
        <v>3/31/2015</v>
      </c>
      <c r="B34" s="51"/>
      <c r="C34" s="226">
        <f>'[3]Boeckh (R)'!$D74</f>
        <v>2293.586478515625</v>
      </c>
      <c r="D34" s="118">
        <f t="shared" si="3"/>
        <v>2252.4987044193258</v>
      </c>
      <c r="E34" s="118">
        <f t="shared" si="4"/>
        <v>2248.5477440436021</v>
      </c>
      <c r="F34" s="118">
        <f>TREND($C$34:$C$53,$N$34:$N$53,$N34,TRUE)</f>
        <v>2263.6707528337138</v>
      </c>
      <c r="G34" s="118">
        <f t="shared" ref="G34:G52" si="5">GROWTH($C$34:$C$53,$N$34:$N$53,$N34,TRUE)</f>
        <v>2265.5050643111394</v>
      </c>
      <c r="H34" s="29"/>
      <c r="I34" s="105"/>
      <c r="J34" s="29"/>
      <c r="K34" s="105"/>
      <c r="L34" s="105"/>
      <c r="M34" s="2"/>
      <c r="N34" s="12">
        <f t="shared" si="2"/>
        <v>2015.25</v>
      </c>
    </row>
    <row r="35" spans="1:14" x14ac:dyDescent="0.2">
      <c r="A35" s="12" t="str">
        <f t="shared" si="1"/>
        <v>6/30/2015</v>
      </c>
      <c r="B35" s="113"/>
      <c r="C35" s="226">
        <f>'[3]Boeckh (R)'!$D75</f>
        <v>2307.5486684374996</v>
      </c>
      <c r="D35" s="118">
        <f t="shared" si="3"/>
        <v>2263.8542918596941</v>
      </c>
      <c r="E35" s="118">
        <f t="shared" si="4"/>
        <v>2259.969681969184</v>
      </c>
      <c r="F35" s="118">
        <f t="shared" ref="F35:F52" si="6">TREND($C$34:$C$53,$N$34:$N$53,$N35,TRUE)</f>
        <v>2273.8540827525285</v>
      </c>
      <c r="G35" s="118">
        <f t="shared" si="5"/>
        <v>2275.2220606160827</v>
      </c>
      <c r="H35" s="36"/>
      <c r="I35" s="105"/>
      <c r="J35" s="36"/>
      <c r="K35" s="105"/>
      <c r="L35" s="105"/>
      <c r="M35" s="2"/>
      <c r="N35" s="12">
        <f t="shared" si="2"/>
        <v>2015.5</v>
      </c>
    </row>
    <row r="36" spans="1:14" x14ac:dyDescent="0.2">
      <c r="A36" s="12" t="str">
        <f t="shared" si="1"/>
        <v>9/30/2015</v>
      </c>
      <c r="B36" s="22"/>
      <c r="C36" s="226">
        <f>'[3]Boeckh (R)'!$D76</f>
        <v>2316.0157391406246</v>
      </c>
      <c r="D36" s="118">
        <f t="shared" si="3"/>
        <v>2275.2098793000478</v>
      </c>
      <c r="E36" s="118">
        <f t="shared" si="4"/>
        <v>2271.449639861813</v>
      </c>
      <c r="F36" s="118">
        <f t="shared" si="6"/>
        <v>2284.0374126713577</v>
      </c>
      <c r="G36" s="118">
        <f t="shared" si="5"/>
        <v>2284.98073416937</v>
      </c>
      <c r="H36"/>
      <c r="I36"/>
      <c r="J36"/>
      <c r="K36"/>
      <c r="L36"/>
      <c r="M36" s="2"/>
      <c r="N36" s="12">
        <f t="shared" si="2"/>
        <v>2015.75</v>
      </c>
    </row>
    <row r="37" spans="1:14" x14ac:dyDescent="0.2">
      <c r="A37" s="12" t="str">
        <f t="shared" si="1"/>
        <v>12/31/2015</v>
      </c>
      <c r="B37" s="22"/>
      <c r="C37" s="226">
        <f>'[3]Boeckh (R)'!$D77</f>
        <v>2319.8966374218749</v>
      </c>
      <c r="D37" s="118">
        <f t="shared" si="3"/>
        <v>2286.565466740416</v>
      </c>
      <c r="E37" s="118">
        <f t="shared" si="4"/>
        <v>2282.9879124452395</v>
      </c>
      <c r="F37" s="118">
        <f t="shared" si="6"/>
        <v>2294.2207425901724</v>
      </c>
      <c r="G37" s="118">
        <f t="shared" si="5"/>
        <v>2294.7812637292282</v>
      </c>
      <c r="H37"/>
      <c r="J37"/>
      <c r="M37" s="2"/>
      <c r="N37" s="12">
        <f t="shared" si="2"/>
        <v>2016</v>
      </c>
    </row>
    <row r="38" spans="1:14" x14ac:dyDescent="0.2">
      <c r="A38" s="12" t="str">
        <f t="shared" si="1"/>
        <v>3/31/2016</v>
      </c>
      <c r="B38" s="22"/>
      <c r="C38" s="226">
        <f>'[3]Boeckh (R)'!$D78</f>
        <v>2316.4368912499999</v>
      </c>
      <c r="D38" s="118">
        <f t="shared" si="3"/>
        <v>2297.9210541807697</v>
      </c>
      <c r="E38" s="118">
        <f t="shared" si="4"/>
        <v>2294.5847959403386</v>
      </c>
      <c r="F38" s="118">
        <f t="shared" si="6"/>
        <v>2304.4040725089872</v>
      </c>
      <c r="G38" s="118">
        <f t="shared" si="5"/>
        <v>2304.6238288205973</v>
      </c>
      <c r="H38" s="118">
        <f t="shared" ref="H38:H53" si="7">TREND($C$38:$C$53,$N$38:$N$53,$N38,TRUE)</f>
        <v>2269.9162921019015</v>
      </c>
      <c r="I38" s="118">
        <f t="shared" ref="I38:I53" si="8">GROWTH($C$38:$C$53,$N$38:$N$53,$N38,TRUE)</f>
        <v>2271.5932935524061</v>
      </c>
      <c r="J38" s="105"/>
      <c r="K38" s="105"/>
      <c r="L38" s="105"/>
      <c r="M38" s="2"/>
      <c r="N38" s="12">
        <f t="shared" si="2"/>
        <v>2016.25</v>
      </c>
    </row>
    <row r="39" spans="1:14" x14ac:dyDescent="0.2">
      <c r="A39" s="12" t="str">
        <f t="shared" si="1"/>
        <v>6/30/2016</v>
      </c>
      <c r="B39" s="22"/>
      <c r="C39" s="226">
        <f>'[3]Boeckh (R)'!$D79</f>
        <v>2308.4052721093749</v>
      </c>
      <c r="D39" s="118">
        <f t="shared" si="3"/>
        <v>2309.2766416211234</v>
      </c>
      <c r="E39" s="118">
        <f t="shared" si="4"/>
        <v>2306.2405880726951</v>
      </c>
      <c r="F39" s="118">
        <f t="shared" si="6"/>
        <v>2314.5874024278164</v>
      </c>
      <c r="G39" s="118">
        <f t="shared" si="5"/>
        <v>2314.5086097384201</v>
      </c>
      <c r="H39" s="118">
        <f t="shared" si="7"/>
        <v>2283.687454969433</v>
      </c>
      <c r="I39" s="118">
        <f t="shared" si="8"/>
        <v>2284.7642655530626</v>
      </c>
      <c r="J39" s="105"/>
      <c r="K39" s="105"/>
      <c r="L39" s="105"/>
      <c r="M39" s="2"/>
      <c r="N39" s="12">
        <f t="shared" si="2"/>
        <v>2016.5</v>
      </c>
    </row>
    <row r="40" spans="1:14" x14ac:dyDescent="0.2">
      <c r="A40" s="12" t="str">
        <f t="shared" si="1"/>
        <v>9/30/2016</v>
      </c>
      <c r="B40" s="22"/>
      <c r="C40" s="226">
        <f>'[3]Boeckh (R)'!$D80</f>
        <v>2301.2550189843751</v>
      </c>
      <c r="D40" s="118">
        <f t="shared" si="3"/>
        <v>2320.6322290614917</v>
      </c>
      <c r="E40" s="118">
        <f t="shared" si="4"/>
        <v>2317.9555880802518</v>
      </c>
      <c r="F40" s="118">
        <f t="shared" si="6"/>
        <v>2324.7707323466311</v>
      </c>
      <c r="G40" s="118">
        <f t="shared" si="5"/>
        <v>2324.4357875509431</v>
      </c>
      <c r="H40" s="118">
        <f t="shared" si="7"/>
        <v>2297.4586178369645</v>
      </c>
      <c r="I40" s="118">
        <f t="shared" si="8"/>
        <v>2298.0116044385713</v>
      </c>
      <c r="J40" s="105"/>
      <c r="K40" s="105"/>
      <c r="L40" s="105"/>
      <c r="M40" s="2"/>
      <c r="N40" s="12">
        <f t="shared" si="2"/>
        <v>2016.75</v>
      </c>
    </row>
    <row r="41" spans="1:14" x14ac:dyDescent="0.2">
      <c r="A41" s="12" t="str">
        <f t="shared" si="1"/>
        <v>12/31/2016</v>
      </c>
      <c r="B41" s="22"/>
      <c r="C41" s="226">
        <f>'[3]Boeckh (R)'!$D81</f>
        <v>2296.5396237499999</v>
      </c>
      <c r="D41" s="118">
        <f t="shared" si="3"/>
        <v>2331.9878165018454</v>
      </c>
      <c r="E41" s="118">
        <f>GROWTH($C$14:$C$53,$N$14:$N$53,$N41,TRUE)</f>
        <v>2329.7300967209703</v>
      </c>
      <c r="F41" s="118">
        <f t="shared" si="6"/>
        <v>2334.9540622654604</v>
      </c>
      <c r="G41" s="118">
        <f t="shared" si="5"/>
        <v>2334.4055441030332</v>
      </c>
      <c r="H41" s="118">
        <f t="shared" si="7"/>
        <v>2311.2297807045106</v>
      </c>
      <c r="I41" s="118">
        <f t="shared" si="8"/>
        <v>2311.3357529933114</v>
      </c>
      <c r="J41" s="50"/>
      <c r="K41" s="58"/>
      <c r="L41" s="58"/>
      <c r="M41" s="2"/>
      <c r="N41" s="12">
        <f t="shared" si="2"/>
        <v>2017</v>
      </c>
    </row>
    <row r="42" spans="1:14" x14ac:dyDescent="0.2">
      <c r="A42" s="12" t="str">
        <f t="shared" si="1"/>
        <v>3/31/2017</v>
      </c>
      <c r="C42" s="226">
        <f>'[3]Boeckh (R)'!$D82</f>
        <v>2299.4008416406245</v>
      </c>
      <c r="D42" s="118">
        <f t="shared" si="3"/>
        <v>2343.3434039422136</v>
      </c>
      <c r="E42" s="118">
        <f t="shared" si="4"/>
        <v>2341.5644162806216</v>
      </c>
      <c r="F42" s="118">
        <f>TREND($C$34:$C$53,$N$34:$N$53,$N42,TRUE)</f>
        <v>2345.1373921842751</v>
      </c>
      <c r="G42" s="118">
        <f t="shared" si="5"/>
        <v>2344.4180620195116</v>
      </c>
      <c r="H42" s="118">
        <f t="shared" si="7"/>
        <v>2325.0009435720422</v>
      </c>
      <c r="I42" s="118">
        <f t="shared" si="8"/>
        <v>2324.737156569046</v>
      </c>
      <c r="J42" s="118">
        <f t="shared" ref="J42:J52" si="9">TREND($C$42:$C$53,$N$42:$N$53,$N42,TRUE)</f>
        <v>2297.4709093269194</v>
      </c>
      <c r="K42" s="118">
        <f>GROWTH($C$42:$C$53,$N$42:$N$53,$N42,TRUE)</f>
        <v>2298.4345113159911</v>
      </c>
      <c r="L42" s="118"/>
      <c r="M42" s="2"/>
      <c r="N42" s="12">
        <f t="shared" si="2"/>
        <v>2017.25</v>
      </c>
    </row>
    <row r="43" spans="1:14" x14ac:dyDescent="0.2">
      <c r="A43" s="12" t="str">
        <f t="shared" si="1"/>
        <v>6/30/2017</v>
      </c>
      <c r="B43" s="113"/>
      <c r="C43" s="226">
        <f>'[3]Boeckh (R)'!$D83</f>
        <v>2309.76593328125</v>
      </c>
      <c r="D43" s="118">
        <f t="shared" si="3"/>
        <v>2354.6989913825673</v>
      </c>
      <c r="E43" s="118">
        <f t="shared" si="4"/>
        <v>2353.4588505804468</v>
      </c>
      <c r="F43" s="118">
        <f t="shared" si="6"/>
        <v>2355.3207221030898</v>
      </c>
      <c r="G43" s="118">
        <f t="shared" si="5"/>
        <v>2354.4735247084791</v>
      </c>
      <c r="H43" s="118">
        <f t="shared" si="7"/>
        <v>2338.7721064395737</v>
      </c>
      <c r="I43" s="118">
        <f t="shared" si="8"/>
        <v>2338.2162630996754</v>
      </c>
      <c r="J43" s="118">
        <f t="shared" si="9"/>
        <v>2315.3332199286961</v>
      </c>
      <c r="K43" s="118">
        <f t="shared" ref="K43:K52" si="10">GROWTH($C$42:$C$53,$N$42:$N$53,$N43,TRUE)</f>
        <v>2315.677389132336</v>
      </c>
      <c r="L43" s="118"/>
      <c r="M43" s="2"/>
      <c r="N43" s="12">
        <f t="shared" si="2"/>
        <v>2017.5</v>
      </c>
    </row>
    <row r="44" spans="1:14" x14ac:dyDescent="0.2">
      <c r="A44" s="12" t="str">
        <f t="shared" si="1"/>
        <v>9/30/2017</v>
      </c>
      <c r="C44" s="226">
        <f>'[3]Boeckh (R)'!$D84</f>
        <v>2326.2998086718749</v>
      </c>
      <c r="D44" s="118">
        <f t="shared" si="3"/>
        <v>2366.0545788229356</v>
      </c>
      <c r="E44" s="118">
        <f t="shared" si="4"/>
        <v>2365.4137049850233</v>
      </c>
      <c r="F44" s="118">
        <f t="shared" si="6"/>
        <v>2365.5040520219191</v>
      </c>
      <c r="G44" s="118">
        <f t="shared" si="5"/>
        <v>2364.572116364744</v>
      </c>
      <c r="H44" s="118">
        <f t="shared" si="7"/>
        <v>2352.5432693071052</v>
      </c>
      <c r="I44" s="118">
        <f t="shared" si="8"/>
        <v>2351.7735231163242</v>
      </c>
      <c r="J44" s="118">
        <f t="shared" si="9"/>
        <v>2333.1955305304728</v>
      </c>
      <c r="K44" s="118">
        <f t="shared" si="10"/>
        <v>2333.0496231839315</v>
      </c>
      <c r="L44" s="118"/>
      <c r="M44" s="2"/>
      <c r="N44" s="12">
        <f t="shared" si="2"/>
        <v>2017.75</v>
      </c>
    </row>
    <row r="45" spans="1:14" x14ac:dyDescent="0.2">
      <c r="A45" s="12" t="str">
        <f t="shared" si="1"/>
        <v>12/31/2017</v>
      </c>
      <c r="C45" s="226">
        <f>'[3]Boeckh (R)'!$D85</f>
        <v>2343.8064457812497</v>
      </c>
      <c r="D45" s="118">
        <f t="shared" si="3"/>
        <v>2377.4101662632893</v>
      </c>
      <c r="E45" s="118">
        <f t="shared" si="4"/>
        <v>2377.4292864100862</v>
      </c>
      <c r="F45" s="118">
        <f t="shared" si="6"/>
        <v>2375.6873819407338</v>
      </c>
      <c r="G45" s="118">
        <f t="shared" si="5"/>
        <v>2374.7140219730964</v>
      </c>
      <c r="H45" s="118">
        <f t="shared" si="7"/>
        <v>2366.3144321746367</v>
      </c>
      <c r="I45" s="118">
        <f t="shared" si="8"/>
        <v>2365.4093897623507</v>
      </c>
      <c r="J45" s="118">
        <f t="shared" si="9"/>
        <v>2351.0578411322495</v>
      </c>
      <c r="K45" s="118">
        <f t="shared" si="10"/>
        <v>2350.5521839025305</v>
      </c>
      <c r="L45" s="118"/>
      <c r="M45" s="2"/>
      <c r="N45" s="12">
        <f t="shared" si="2"/>
        <v>2018</v>
      </c>
    </row>
    <row r="46" spans="1:14" x14ac:dyDescent="0.2">
      <c r="A46" s="12" t="str">
        <f t="shared" si="1"/>
        <v>3/31/2018</v>
      </c>
      <c r="C46" s="226">
        <f>'[3]Boeckh (R)'!$D86</f>
        <v>2363.7419721874999</v>
      </c>
      <c r="D46" s="118">
        <f t="shared" si="3"/>
        <v>2388.7657537036575</v>
      </c>
      <c r="E46" s="118">
        <f t="shared" si="4"/>
        <v>2389.5059033304115</v>
      </c>
      <c r="F46" s="118">
        <f t="shared" si="6"/>
        <v>2385.870711859563</v>
      </c>
      <c r="G46" s="118">
        <f t="shared" si="5"/>
        <v>2384.8994273117619</v>
      </c>
      <c r="H46" s="118">
        <f t="shared" si="7"/>
        <v>2380.0855950421683</v>
      </c>
      <c r="I46" s="118">
        <f t="shared" si="8"/>
        <v>2379.1243188084427</v>
      </c>
      <c r="J46" s="118">
        <f t="shared" si="9"/>
        <v>2368.9201517340261</v>
      </c>
      <c r="K46" s="118">
        <f>GROWTH($C$42:$C$53,$N$42:$N$53,$N46,TRUE)</f>
        <v>2368.1860490000095</v>
      </c>
      <c r="L46" s="118"/>
      <c r="M46" s="2"/>
      <c r="N46" s="12">
        <f t="shared" si="2"/>
        <v>2018.25</v>
      </c>
    </row>
    <row r="47" spans="1:14" x14ac:dyDescent="0.2">
      <c r="A47" s="12" t="str">
        <f t="shared" si="1"/>
        <v>6/30/2018</v>
      </c>
      <c r="C47" s="226">
        <f>'[3]Boeckh (R)'!$D87</f>
        <v>2386.9934075000001</v>
      </c>
      <c r="D47" s="118">
        <f t="shared" si="3"/>
        <v>2400.1213411440112</v>
      </c>
      <c r="E47" s="118">
        <f t="shared" si="4"/>
        <v>2401.6438657877138</v>
      </c>
      <c r="F47" s="118">
        <f t="shared" si="6"/>
        <v>2396.0540417783777</v>
      </c>
      <c r="G47" s="118">
        <f t="shared" si="5"/>
        <v>2395.1285189557907</v>
      </c>
      <c r="H47" s="118">
        <f t="shared" si="7"/>
        <v>2393.8567579096998</v>
      </c>
      <c r="I47" s="118">
        <f t="shared" si="8"/>
        <v>2392.9187686679693</v>
      </c>
      <c r="J47" s="118">
        <f>TREND($C$42:$C$53,$N$42:$N$53,$N47,TRUE)</f>
        <v>2386.7824623358028</v>
      </c>
      <c r="K47" s="118">
        <f>GROWTH($C$42:$C$53,$N$42:$N$53,$N47,TRUE)</f>
        <v>2385.9522035231157</v>
      </c>
      <c r="L47" s="118"/>
      <c r="M47" s="2"/>
      <c r="N47" s="12">
        <f t="shared" si="2"/>
        <v>2018.5</v>
      </c>
    </row>
    <row r="48" spans="1:14" x14ac:dyDescent="0.2">
      <c r="A48" s="12" t="str">
        <f t="shared" si="1"/>
        <v>9/30/2018</v>
      </c>
      <c r="B48" s="113"/>
      <c r="C48" s="226">
        <f>'[3]Boeckh (R)'!$D88</f>
        <v>2413.5249035156248</v>
      </c>
      <c r="D48" s="118">
        <f t="shared" si="3"/>
        <v>2411.4769285843649</v>
      </c>
      <c r="E48" s="118">
        <f t="shared" si="4"/>
        <v>2413.8434853986764</v>
      </c>
      <c r="F48" s="118">
        <f t="shared" si="6"/>
        <v>2406.2373716971924</v>
      </c>
      <c r="G48" s="118">
        <f t="shared" si="5"/>
        <v>2405.4014842804718</v>
      </c>
      <c r="H48" s="118">
        <f t="shared" si="7"/>
        <v>2407.6279207772313</v>
      </c>
      <c r="I48" s="118">
        <f t="shared" si="8"/>
        <v>2406.7932004121672</v>
      </c>
      <c r="J48" s="118">
        <f t="shared" si="9"/>
        <v>2404.6447729376086</v>
      </c>
      <c r="K48" s="118">
        <f t="shared" si="10"/>
        <v>2403.8516399083774</v>
      </c>
      <c r="L48" s="118"/>
      <c r="M48" s="2"/>
      <c r="N48" s="12">
        <f t="shared" si="2"/>
        <v>2018.75</v>
      </c>
    </row>
    <row r="49" spans="1:15" x14ac:dyDescent="0.2">
      <c r="A49" s="12" t="str">
        <f t="shared" si="1"/>
        <v>12/31/2018</v>
      </c>
      <c r="C49" s="226">
        <f>'[3]Boeckh (R)'!$D89</f>
        <v>2441.1228667187502</v>
      </c>
      <c r="D49" s="118">
        <f t="shared" si="3"/>
        <v>2422.8325160247332</v>
      </c>
      <c r="E49" s="118">
        <f t="shared" si="4"/>
        <v>2426.1050753628519</v>
      </c>
      <c r="F49" s="118">
        <f t="shared" si="6"/>
        <v>2416.4207016160217</v>
      </c>
      <c r="G49" s="118">
        <f t="shared" si="5"/>
        <v>2415.7185114647673</v>
      </c>
      <c r="H49" s="118">
        <f t="shared" si="7"/>
        <v>2421.3990836447629</v>
      </c>
      <c r="I49" s="118">
        <f t="shared" si="8"/>
        <v>2420.748077785689</v>
      </c>
      <c r="J49" s="118">
        <f t="shared" si="9"/>
        <v>2422.5070835393853</v>
      </c>
      <c r="K49" s="118">
        <f t="shared" si="10"/>
        <v>2421.8853580375876</v>
      </c>
      <c r="L49" s="118"/>
      <c r="M49" s="2"/>
      <c r="N49" s="12">
        <f t="shared" si="2"/>
        <v>2019</v>
      </c>
    </row>
    <row r="50" spans="1:15" x14ac:dyDescent="0.2">
      <c r="A50" s="12" t="str">
        <f t="shared" si="1"/>
        <v>3/31/2019</v>
      </c>
      <c r="C50" s="226">
        <f>'[3]Boeckh (R)'!$D90</f>
        <v>2459.1268375</v>
      </c>
      <c r="D50" s="118">
        <f>TREND($C$14:$C$53,$N$14:$N$53,$N50,TRUE)</f>
        <v>2434.1881034650869</v>
      </c>
      <c r="E50" s="118">
        <f t="shared" si="4"/>
        <v>2438.4289504707649</v>
      </c>
      <c r="F50" s="118">
        <f t="shared" si="6"/>
        <v>2426.6040315348364</v>
      </c>
      <c r="G50" s="118">
        <f t="shared" si="5"/>
        <v>2426.0797894947609</v>
      </c>
      <c r="H50" s="118">
        <f t="shared" si="7"/>
        <v>2435.1702465122944</v>
      </c>
      <c r="I50" s="118">
        <f t="shared" si="8"/>
        <v>2434.783867221965</v>
      </c>
      <c r="J50" s="118">
        <f t="shared" si="9"/>
        <v>2440.369394141162</v>
      </c>
      <c r="K50" s="118">
        <f t="shared" si="10"/>
        <v>2440.0543652937172</v>
      </c>
      <c r="L50" s="118"/>
      <c r="M50" s="2"/>
      <c r="N50" s="12">
        <f t="shared" si="2"/>
        <v>2019.25</v>
      </c>
    </row>
    <row r="51" spans="1:15" x14ac:dyDescent="0.2">
      <c r="A51" s="12" t="str">
        <f t="shared" si="1"/>
        <v>6/30/2019</v>
      </c>
      <c r="C51" s="226">
        <f>'[3]Boeckh (R)'!$D91</f>
        <v>2468.9556631249998</v>
      </c>
      <c r="D51" s="118">
        <f t="shared" si="3"/>
        <v>2445.5436909054552</v>
      </c>
      <c r="E51" s="118">
        <f t="shared" si="4"/>
        <v>2450.8154271119824</v>
      </c>
      <c r="F51" s="118">
        <f t="shared" si="6"/>
        <v>2436.7873614536657</v>
      </c>
      <c r="G51" s="118">
        <f t="shared" si="5"/>
        <v>2436.4855081670985</v>
      </c>
      <c r="H51" s="118">
        <f t="shared" si="7"/>
        <v>2448.9414093798259</v>
      </c>
      <c r="I51" s="118">
        <f t="shared" si="8"/>
        <v>2448.9010378589146</v>
      </c>
      <c r="J51" s="118">
        <f t="shared" si="9"/>
        <v>2458.2317047429387</v>
      </c>
      <c r="K51" s="118">
        <f t="shared" si="10"/>
        <v>2458.3596766170617</v>
      </c>
      <c r="L51" s="118"/>
      <c r="M51" s="2"/>
      <c r="N51" s="12">
        <f t="shared" si="2"/>
        <v>2019.5</v>
      </c>
    </row>
    <row r="52" spans="1:15" x14ac:dyDescent="0.2">
      <c r="A52" s="12" t="str">
        <f>TEXT(DATE(YEAR(A53+1),MONTH(A53+1)-3,1)-1,"m/d/yyyy")</f>
        <v>9/30/2019</v>
      </c>
      <c r="C52" s="226">
        <f>'[3]Boeckh (R)'!$D92</f>
        <v>2469.0078392968749</v>
      </c>
      <c r="D52" s="118">
        <f t="shared" si="3"/>
        <v>2456.8992783458089</v>
      </c>
      <c r="E52" s="118">
        <f t="shared" si="4"/>
        <v>2463.2648232832162</v>
      </c>
      <c r="F52" s="118">
        <f t="shared" si="6"/>
        <v>2446.9706913724804</v>
      </c>
      <c r="G52" s="118">
        <f t="shared" si="5"/>
        <v>2446.9358580925382</v>
      </c>
      <c r="H52" s="118">
        <f t="shared" si="7"/>
        <v>2462.7125722473575</v>
      </c>
      <c r="I52" s="118">
        <f t="shared" si="8"/>
        <v>2463.1000615545768</v>
      </c>
      <c r="J52" s="118">
        <f t="shared" si="9"/>
        <v>2476.0940153447154</v>
      </c>
      <c r="K52" s="118">
        <f t="shared" si="10"/>
        <v>2476.8023145620814</v>
      </c>
      <c r="L52" s="118"/>
      <c r="M52" s="2"/>
      <c r="N52" s="12">
        <f t="shared" si="2"/>
        <v>2019.75</v>
      </c>
    </row>
    <row r="53" spans="1:15" x14ac:dyDescent="0.2">
      <c r="A53" s="12" t="str">
        <f>TEXT(N9,"m/d/yyyy")</f>
        <v>12/31/2019</v>
      </c>
      <c r="C53" s="226">
        <f>'[3]Boeckh (R)'!$D93</f>
        <v>2466.8168924218749</v>
      </c>
      <c r="D53" s="118">
        <f t="shared" si="3"/>
        <v>2468.2548657861771</v>
      </c>
      <c r="E53" s="118">
        <f t="shared" si="4"/>
        <v>2475.7774585965562</v>
      </c>
      <c r="F53" s="118">
        <f>TREND($C$34:$C$53,$N$34:$N$53,$N53,TRUE)</f>
        <v>2457.1540212912951</v>
      </c>
      <c r="G53" s="118">
        <f>GROWTH($C$34:$C$53,$N$34:$N$53,$N53,TRUE)</f>
        <v>2457.4310306993348</v>
      </c>
      <c r="H53" s="118">
        <f t="shared" si="7"/>
        <v>2476.483735114889</v>
      </c>
      <c r="I53" s="118">
        <f t="shared" si="8"/>
        <v>2477.3814129028269</v>
      </c>
      <c r="J53" s="118">
        <f>TREND($C$42:$C$53,$N$42:$N$53,$N53,TRUE)</f>
        <v>2493.9563259464921</v>
      </c>
      <c r="K53" s="118">
        <f>GROWTH($C$42:$C$53,$N$42:$N$53,$N53,TRUE)</f>
        <v>2495.3833093543944</v>
      </c>
      <c r="L53" s="168"/>
      <c r="M53" s="2"/>
      <c r="N53" s="12">
        <f t="shared" si="2"/>
        <v>2020</v>
      </c>
    </row>
    <row r="54" spans="1:15" x14ac:dyDescent="0.2">
      <c r="A54" s="119"/>
      <c r="B54" s="9"/>
      <c r="C54" s="193"/>
      <c r="D54" s="120"/>
      <c r="E54" s="120"/>
      <c r="F54" s="120"/>
      <c r="G54" s="120"/>
      <c r="H54" s="120"/>
      <c r="I54" s="120"/>
      <c r="J54" s="120"/>
      <c r="K54" s="120"/>
      <c r="L54"/>
      <c r="M54" s="2"/>
    </row>
    <row r="55" spans="1:15" x14ac:dyDescent="0.2">
      <c r="A55" s="50"/>
      <c r="B55" s="107"/>
      <c r="C55" s="50"/>
      <c r="D55" s="50"/>
      <c r="E55" s="50"/>
      <c r="F55" s="50"/>
      <c r="G55" s="101"/>
      <c r="H55" s="50"/>
      <c r="I55" s="101"/>
      <c r="J55" s="50"/>
      <c r="K55" s="50"/>
      <c r="L55" s="50"/>
      <c r="M55" s="2"/>
    </row>
    <row r="56" spans="1:15" x14ac:dyDescent="0.2">
      <c r="A56" s="12" t="s">
        <v>260</v>
      </c>
      <c r="C56"/>
      <c r="D56" s="20">
        <f>(D53-D49)/D53</f>
        <v>1.8402617327354563E-2</v>
      </c>
      <c r="E56" s="20">
        <f>LOGEST($C$14:$C$53,$N$14:$N$53,TRUE,TRUE)-1</f>
        <v>2.0474126919783453E-2</v>
      </c>
      <c r="F56" s="20">
        <f>(F53-F49)/F53</f>
        <v>1.6577438500931664E-2</v>
      </c>
      <c r="G56" s="20">
        <f>LOGEST($C$34:$C$53,$N$34:$N$53,TRUE,TRUE)-1</f>
        <v>1.7267127372917468E-2</v>
      </c>
      <c r="H56" s="20">
        <f>(H53-H49)/H53</f>
        <v>2.2243090349862778E-2</v>
      </c>
      <c r="I56" s="20">
        <f>LOGEST($C$38:$C$53,$N$38:$N$53,TRUE,TRUE)-1</f>
        <v>2.3394972668512315E-2</v>
      </c>
      <c r="J56" s="20">
        <f>(J53-J49)/J53</f>
        <v>2.864895494109777E-2</v>
      </c>
      <c r="K56" s="20">
        <f>LOGEST($C$42:$C$53,$N$42:$N$53,TRUE,TRUE)-1</f>
        <v>3.0347411397024793E-2</v>
      </c>
      <c r="L56" s="20"/>
      <c r="M56" s="2"/>
    </row>
    <row r="57" spans="1:15" x14ac:dyDescent="0.2">
      <c r="A57" s="121" t="s">
        <v>261</v>
      </c>
      <c r="B57" s="113"/>
      <c r="C57" s="103"/>
      <c r="D57" s="104">
        <f>INDEX(LINEST($C$14:$C$53,$N$14:$N$53,TRUE,TRUE),3,1)</f>
        <v>0.96738396527757775</v>
      </c>
      <c r="E57" s="104">
        <f>INDEX(LOGEST($C$14:$C$53,$N$14:$N$53,TRUE,TRUE),3,1)</f>
        <v>0.96720063216005614</v>
      </c>
      <c r="F57" s="104">
        <f>INDEX(LINEST($C$34:$C$53,$N$34:$N$53,TRUE,TRUE),3,1)</f>
        <v>0.80644867796210717</v>
      </c>
      <c r="G57" s="104">
        <f>INDEX(LOGEST($C$34:$C$53,$N$34:$N$53,TRUE,TRUE),3,1)</f>
        <v>0.80776756341803602</v>
      </c>
      <c r="H57" s="104">
        <f>INDEX(LINEST($C$38:$C$53,$N$38:$N$53,TRUE,TRUE),3,1)</f>
        <v>0.89526863149103419</v>
      </c>
      <c r="I57" s="104">
        <f>INDEX(LOGEST($C$38:$C$53,$N$38:$N$53,TRUE,TRUE),3,1)</f>
        <v>0.89594398284800458</v>
      </c>
      <c r="J57" s="104">
        <f>INDEX(LINEST($C$42:$C$53,$N$42:$N$53,TRUE,TRUE),3,1)</f>
        <v>0.96122067854437976</v>
      </c>
      <c r="K57" s="104">
        <f>INDEX(LOGEST($C$42:$C$53,$N$42:$N$53,TRUE,TRUE),3,1)</f>
        <v>0.96062438901412772</v>
      </c>
      <c r="L57" s="104"/>
      <c r="M57" s="2"/>
      <c r="O57" s="256"/>
    </row>
    <row r="58" spans="1:15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5" ht="12" thickTop="1" x14ac:dyDescent="0.2">
      <c r="A59"/>
      <c r="B59"/>
      <c r="C59"/>
      <c r="D59"/>
      <c r="E59"/>
      <c r="F59"/>
      <c r="G59" s="50"/>
      <c r="H59"/>
      <c r="I59" s="50"/>
      <c r="J59"/>
      <c r="K59" s="50"/>
      <c r="L59" s="50"/>
      <c r="M59" s="2"/>
    </row>
    <row r="60" spans="1:15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5" x14ac:dyDescent="0.2">
      <c r="A61"/>
      <c r="B61" s="2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5" ht="12" thickBot="1" x14ac:dyDescent="0.25">
      <c r="A62" s="101"/>
      <c r="B62" s="22" t="str">
        <f>D12&amp;" - "&amp;K12&amp;" = "&amp;C12&amp;" fitted to linear and exponential distributions"</f>
        <v>(3) - (10) = (2) fitted to linear and exponential distributions</v>
      </c>
      <c r="C62" s="101"/>
      <c r="D62" s="101"/>
      <c r="E62" s="101"/>
      <c r="F62" s="101"/>
      <c r="G62" s="101"/>
      <c r="H62" s="101"/>
      <c r="I62" s="101"/>
      <c r="J62" s="101"/>
      <c r="K62"/>
      <c r="L62"/>
      <c r="M62" s="2"/>
    </row>
    <row r="63" spans="1:15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rgb="FF92D050"/>
  </sheetPr>
  <dimension ref="A1:N69"/>
  <sheetViews>
    <sheetView workbookViewId="0">
      <selection activeCell="J33" sqref="J33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</row>
    <row r="2" spans="1:14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58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09" t="s">
        <v>236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09" t="s">
        <v>262</v>
      </c>
      <c r="C5"/>
      <c r="D5"/>
      <c r="E5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A8"/>
      <c r="B8"/>
      <c r="C8"/>
      <c r="D8"/>
      <c r="E8"/>
      <c r="F8"/>
      <c r="G8" s="50"/>
      <c r="H8"/>
      <c r="I8" s="50"/>
      <c r="J8" s="50"/>
      <c r="K8" s="50"/>
      <c r="L8" s="50"/>
      <c r="M8" s="2"/>
      <c r="N8" t="s">
        <v>238</v>
      </c>
    </row>
    <row r="9" spans="1:14" x14ac:dyDescent="0.2">
      <c r="A9"/>
      <c r="B9"/>
      <c r="C9" s="22" t="s">
        <v>252</v>
      </c>
      <c r="D9" s="10" t="s">
        <v>253</v>
      </c>
      <c r="E9"/>
      <c r="F9"/>
      <c r="G9"/>
      <c r="H9"/>
      <c r="I9"/>
      <c r="J9"/>
      <c r="K9"/>
      <c r="L9"/>
      <c r="M9" s="2"/>
      <c r="N9" s="86">
        <f>'3.3b'!$N$9</f>
        <v>43830</v>
      </c>
    </row>
    <row r="10" spans="1:14" x14ac:dyDescent="0.2">
      <c r="A10" t="s">
        <v>239</v>
      </c>
      <c r="B10"/>
      <c r="C10" t="s">
        <v>241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</row>
    <row r="11" spans="1:14" x14ac:dyDescent="0.2">
      <c r="A11" s="9" t="s">
        <v>34</v>
      </c>
      <c r="B11" s="9"/>
      <c r="C11" s="9" t="s">
        <v>235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12" t="str">
        <f t="shared" ref="A14:A52" si="1">TEXT(DATE(YEAR(A15+1),MONTH(A15+1)-3,1)-1,"m/d/yyyy")</f>
        <v>3/31/2010</v>
      </c>
      <c r="B14" s="25"/>
      <c r="C14" s="226">
        <f>'[3]Boeckh (R)'!$E54</f>
        <v>2075.0975883333331</v>
      </c>
      <c r="D14" s="118">
        <f>TREND($C$14:$C$53,$N$14:$N$53,$N14,TRUE)</f>
        <v>2028.3777060209686</v>
      </c>
      <c r="E14" s="118">
        <f>GROWTH($C$14:$C$53,$N$14:$N$53,$N14,TRUE)</f>
        <v>2035.9481921299412</v>
      </c>
      <c r="F14" s="118"/>
      <c r="G14" s="118"/>
      <c r="H14" s="36"/>
      <c r="I14"/>
      <c r="J14" s="36"/>
      <c r="K14"/>
      <c r="L14"/>
      <c r="M14" s="2"/>
      <c r="N14" s="12">
        <f t="shared" ref="N14:N53" si="2">YEAR(A14)+MONTH(A14)/12</f>
        <v>2010.25</v>
      </c>
    </row>
    <row r="15" spans="1:14" x14ac:dyDescent="0.2">
      <c r="A15" s="12" t="str">
        <f t="shared" si="1"/>
        <v>6/30/2010</v>
      </c>
      <c r="B15" s="25"/>
      <c r="C15" s="226">
        <f>'[3]Boeckh (R)'!$E55</f>
        <v>2072.7622078125</v>
      </c>
      <c r="D15" s="118">
        <f>TREND($C$14:$C$53,$N$14:$N$53,$N15,TRUE)</f>
        <v>2040.296146313689</v>
      </c>
      <c r="E15" s="118">
        <f>GROWTH($C$14:$C$53,$N$14:$N$53,$N15,TRUE)</f>
        <v>2046.711241212764</v>
      </c>
      <c r="F15" s="118"/>
      <c r="G15" s="118"/>
      <c r="H15" s="36"/>
      <c r="I15"/>
      <c r="J15" s="36"/>
      <c r="K15"/>
      <c r="L15"/>
      <c r="M15" s="2"/>
      <c r="N15" s="12">
        <f t="shared" si="2"/>
        <v>2010.5</v>
      </c>
    </row>
    <row r="16" spans="1:14" x14ac:dyDescent="0.2">
      <c r="A16" s="12" t="str">
        <f t="shared" si="1"/>
        <v>9/30/2010</v>
      </c>
      <c r="B16" s="25"/>
      <c r="C16" s="226">
        <f>'[3]Boeckh (R)'!$E56</f>
        <v>2070.9793652708336</v>
      </c>
      <c r="D16" s="118">
        <f>TREND($C$14:$C$53,$N$14:$N$53,$N16,TRUE)</f>
        <v>2052.2145866063947</v>
      </c>
      <c r="E16" s="118">
        <f>GROWTH($C$14:$C$53,$N$14:$N$53,$N16,TRUE)</f>
        <v>2057.5311892019722</v>
      </c>
      <c r="F16" s="118"/>
      <c r="G16" s="118"/>
      <c r="H16" s="36"/>
      <c r="I16"/>
      <c r="J16" s="36"/>
      <c r="K16"/>
      <c r="L16"/>
      <c r="M16" s="2"/>
      <c r="N16" s="12">
        <f t="shared" si="2"/>
        <v>2010.75</v>
      </c>
    </row>
    <row r="17" spans="1:14" x14ac:dyDescent="0.2">
      <c r="A17" s="12" t="str">
        <f t="shared" si="1"/>
        <v>12/31/2010</v>
      </c>
      <c r="B17" s="25"/>
      <c r="C17" s="226">
        <f>'[3]Boeckh (R)'!$E57</f>
        <v>2070.6144097202387</v>
      </c>
      <c r="D17" s="118">
        <f>TREND($C$14:$C$53,$N$14:$N$53,$N17,TRUE)</f>
        <v>2064.1330268991005</v>
      </c>
      <c r="E17" s="118">
        <f>GROWTH($C$14:$C$53,$N$14:$N$53,$N17,TRUE)</f>
        <v>2068.4083368938705</v>
      </c>
      <c r="F17" s="118"/>
      <c r="G17" s="118"/>
      <c r="H17" s="36"/>
      <c r="I17"/>
      <c r="J17" s="36"/>
      <c r="K17"/>
      <c r="L17"/>
      <c r="M17" s="2"/>
      <c r="N17" s="12">
        <f t="shared" si="2"/>
        <v>2011</v>
      </c>
    </row>
    <row r="18" spans="1:14" x14ac:dyDescent="0.2">
      <c r="A18" s="12" t="str">
        <f t="shared" si="1"/>
        <v>3/31/2011</v>
      </c>
      <c r="B18" s="25"/>
      <c r="C18" s="226">
        <f>'[3]Boeckh (R)'!$E58</f>
        <v>2073.4202189404759</v>
      </c>
      <c r="D18" s="118">
        <f>TREND($C$14:$C$53,$N$14:$N$53,$N18,TRUE)</f>
        <v>2076.0514671918208</v>
      </c>
      <c r="E18" s="118">
        <f t="shared" ref="E18:E53" si="3">GROWTH($C$14:$C$53,$N$14:$N$53,$N18,TRUE)</f>
        <v>2079.3429866749234</v>
      </c>
      <c r="F18" s="118"/>
      <c r="G18" s="118"/>
      <c r="H18" s="36"/>
      <c r="I18"/>
      <c r="J18" s="36"/>
      <c r="K18"/>
      <c r="L18"/>
      <c r="M18" s="2"/>
      <c r="N18" s="12">
        <f t="shared" si="2"/>
        <v>2011.25</v>
      </c>
    </row>
    <row r="19" spans="1:14" x14ac:dyDescent="0.2">
      <c r="A19" s="12" t="str">
        <f t="shared" si="1"/>
        <v>6/30/2011</v>
      </c>
      <c r="B19" s="25"/>
      <c r="C19" s="226">
        <f>'[3]Boeckh (R)'!$E59</f>
        <v>2074.4718858303572</v>
      </c>
      <c r="D19" s="118">
        <f t="shared" ref="D19:D53" si="4">TREND($C$14:$C$53,$N$14:$N$53,$N19,TRUE)</f>
        <v>2087.9699074845266</v>
      </c>
      <c r="E19" s="118">
        <f t="shared" si="3"/>
        <v>2090.3354425302086</v>
      </c>
      <c r="F19" s="118"/>
      <c r="G19" s="118"/>
      <c r="H19" s="36"/>
      <c r="I19"/>
      <c r="J19" s="36"/>
      <c r="K19"/>
      <c r="L19"/>
      <c r="M19" s="2"/>
      <c r="N19" s="12">
        <f t="shared" si="2"/>
        <v>2011.5</v>
      </c>
    </row>
    <row r="20" spans="1:14" x14ac:dyDescent="0.2">
      <c r="A20" s="12" t="str">
        <f t="shared" si="1"/>
        <v>9/30/2011</v>
      </c>
      <c r="B20" s="25"/>
      <c r="C20" s="226">
        <f>'[3]Boeckh (R)'!$E60</f>
        <v>2078.0934502470236</v>
      </c>
      <c r="D20" s="118">
        <f t="shared" si="4"/>
        <v>2099.888347777247</v>
      </c>
      <c r="E20" s="118">
        <f t="shared" si="3"/>
        <v>2101.3860100517777</v>
      </c>
      <c r="F20" s="118"/>
      <c r="G20" s="118"/>
      <c r="H20" s="36"/>
      <c r="I20"/>
      <c r="J20" s="36"/>
      <c r="K20"/>
      <c r="L20"/>
      <c r="M20" s="2"/>
      <c r="N20" s="12">
        <f t="shared" si="2"/>
        <v>2011.75</v>
      </c>
    </row>
    <row r="21" spans="1:14" x14ac:dyDescent="0.2">
      <c r="A21" s="12" t="str">
        <f t="shared" si="1"/>
        <v>12/31/2011</v>
      </c>
      <c r="B21" s="25"/>
      <c r="C21" s="226">
        <f>'[3]Boeckh (R)'!$E61</f>
        <v>2083.4605320476189</v>
      </c>
      <c r="D21" s="118">
        <f t="shared" si="4"/>
        <v>2111.8067880699527</v>
      </c>
      <c r="E21" s="118">
        <f t="shared" si="3"/>
        <v>2112.4949964471944</v>
      </c>
      <c r="F21" s="118"/>
      <c r="G21" s="118"/>
      <c r="H21" s="36"/>
      <c r="I21"/>
      <c r="J21" s="36"/>
      <c r="K21"/>
      <c r="L21"/>
      <c r="M21" s="2"/>
      <c r="N21" s="12">
        <f t="shared" si="2"/>
        <v>2012</v>
      </c>
    </row>
    <row r="22" spans="1:14" x14ac:dyDescent="0.2">
      <c r="A22" s="12" t="str">
        <f t="shared" si="1"/>
        <v>3/31/2012</v>
      </c>
      <c r="B22" s="25"/>
      <c r="C22" s="226">
        <f>'[3]Boeckh (R)'!$E62</f>
        <v>2089.9624981398811</v>
      </c>
      <c r="D22" s="118">
        <f t="shared" si="4"/>
        <v>2123.7252283626731</v>
      </c>
      <c r="E22" s="118">
        <f t="shared" si="3"/>
        <v>2123.6627105481234</v>
      </c>
      <c r="F22" s="118"/>
      <c r="G22" s="118"/>
      <c r="H22" s="36"/>
      <c r="I22"/>
      <c r="J22" s="36"/>
      <c r="K22"/>
      <c r="L22"/>
      <c r="M22" s="2"/>
      <c r="N22" s="12">
        <f t="shared" si="2"/>
        <v>2012.25</v>
      </c>
    </row>
    <row r="23" spans="1:14" x14ac:dyDescent="0.2">
      <c r="A23" s="12" t="str">
        <f t="shared" si="1"/>
        <v>6/30/2012</v>
      </c>
      <c r="B23" s="51"/>
      <c r="C23" s="226">
        <f>'[3]Boeckh (R)'!$E63</f>
        <v>2099.3336831249999</v>
      </c>
      <c r="D23" s="118">
        <f t="shared" si="4"/>
        <v>2135.6436686553789</v>
      </c>
      <c r="E23" s="118">
        <f t="shared" si="3"/>
        <v>2134.8894628188232</v>
      </c>
      <c r="F23" s="118"/>
      <c r="G23" s="118"/>
      <c r="H23" s="36"/>
      <c r="I23"/>
      <c r="J23" s="36"/>
      <c r="K23"/>
      <c r="L23"/>
      <c r="M23" s="2"/>
      <c r="N23" s="12">
        <f t="shared" si="2"/>
        <v>2012.5</v>
      </c>
    </row>
    <row r="24" spans="1:14" x14ac:dyDescent="0.2">
      <c r="A24" s="12" t="str">
        <f t="shared" si="1"/>
        <v>9/30/2012</v>
      </c>
      <c r="B24"/>
      <c r="C24" s="226">
        <f>'[3]Boeckh (R)'!$E64</f>
        <v>2118.8191253125001</v>
      </c>
      <c r="D24" s="118">
        <f t="shared" si="4"/>
        <v>2147.5621089480992</v>
      </c>
      <c r="E24" s="118">
        <f t="shared" si="3"/>
        <v>2146.1755653648224</v>
      </c>
      <c r="F24" s="118"/>
      <c r="G24" s="118"/>
      <c r="H24"/>
      <c r="I24"/>
      <c r="J24"/>
      <c r="K24"/>
      <c r="L24"/>
      <c r="M24" s="2"/>
      <c r="N24" s="12">
        <f t="shared" si="2"/>
        <v>2012.75</v>
      </c>
    </row>
    <row r="25" spans="1:14" x14ac:dyDescent="0.2">
      <c r="A25" s="12" t="str">
        <f t="shared" si="1"/>
        <v>12/31/2012</v>
      </c>
      <c r="B25"/>
      <c r="C25" s="226">
        <f>'[3]Boeckh (R)'!$E65</f>
        <v>2139.8777234375002</v>
      </c>
      <c r="D25" s="118">
        <f t="shared" si="4"/>
        <v>2159.480549240805</v>
      </c>
      <c r="E25" s="118">
        <f t="shared" si="3"/>
        <v>2157.5213319416439</v>
      </c>
      <c r="F25" s="118"/>
      <c r="G25" s="118"/>
      <c r="H25"/>
      <c r="I25"/>
      <c r="J25"/>
      <c r="K25"/>
      <c r="L25"/>
      <c r="M25" s="2"/>
      <c r="N25" s="12">
        <f t="shared" si="2"/>
        <v>2013</v>
      </c>
    </row>
    <row r="26" spans="1:14" x14ac:dyDescent="0.2">
      <c r="A26" s="12" t="str">
        <f t="shared" si="1"/>
        <v>3/31/2013</v>
      </c>
      <c r="B26"/>
      <c r="C26" s="226">
        <f>'[3]Boeckh (R)'!$E66</f>
        <v>2157.7392184374999</v>
      </c>
      <c r="D26" s="118">
        <f t="shared" si="4"/>
        <v>2171.3989895335253</v>
      </c>
      <c r="E26" s="118">
        <f t="shared" si="3"/>
        <v>2168.9270779634344</v>
      </c>
      <c r="F26" s="118"/>
      <c r="G26" s="118"/>
      <c r="H26"/>
      <c r="I26"/>
      <c r="J26"/>
      <c r="K26"/>
      <c r="L26"/>
      <c r="M26" s="2"/>
      <c r="N26" s="12">
        <f t="shared" si="2"/>
        <v>2013.25</v>
      </c>
    </row>
    <row r="27" spans="1:14" x14ac:dyDescent="0.2">
      <c r="A27" s="12" t="str">
        <f t="shared" si="1"/>
        <v>6/30/2013</v>
      </c>
      <c r="B27"/>
      <c r="C27" s="226">
        <f>'[3]Boeckh (R)'!$E67</f>
        <v>2175.6324212500003</v>
      </c>
      <c r="D27" s="118">
        <f t="shared" si="4"/>
        <v>2183.3174298262311</v>
      </c>
      <c r="E27" s="118">
        <f t="shared" si="3"/>
        <v>2180.3931205117779</v>
      </c>
      <c r="F27" s="118"/>
      <c r="G27" s="118"/>
      <c r="H27"/>
      <c r="I27"/>
      <c r="J27"/>
      <c r="K27"/>
      <c r="L27"/>
      <c r="M27" s="2"/>
      <c r="N27" s="12">
        <f t="shared" si="2"/>
        <v>2013.5</v>
      </c>
    </row>
    <row r="28" spans="1:14" x14ac:dyDescent="0.2">
      <c r="A28" s="12" t="str">
        <f t="shared" si="1"/>
        <v>9/30/2013</v>
      </c>
      <c r="B28"/>
      <c r="C28" s="226">
        <f>'[3]Boeckh (R)'!$E68</f>
        <v>2189.6208656250001</v>
      </c>
      <c r="D28" s="118">
        <f t="shared" si="4"/>
        <v>2195.2358701189514</v>
      </c>
      <c r="E28" s="118">
        <f t="shared" si="3"/>
        <v>2191.9197783445584</v>
      </c>
      <c r="F28" s="118"/>
      <c r="G28" s="118"/>
      <c r="H28"/>
      <c r="I28"/>
      <c r="J28"/>
      <c r="K28"/>
      <c r="L28"/>
      <c r="M28" s="2"/>
      <c r="N28" s="12">
        <f t="shared" si="2"/>
        <v>2013.75</v>
      </c>
    </row>
    <row r="29" spans="1:14" x14ac:dyDescent="0.2">
      <c r="A29" s="12" t="str">
        <f t="shared" si="1"/>
        <v>12/31/2013</v>
      </c>
      <c r="B29"/>
      <c r="C29" s="226">
        <f>'[3]Boeckh (R)'!$E69</f>
        <v>2203.3705943750001</v>
      </c>
      <c r="D29" s="118">
        <f>TREND($C$14:$C$53,$N$14:$N$53,$N29,TRUE)</f>
        <v>2207.1543104116572</v>
      </c>
      <c r="E29" s="118">
        <f t="shared" si="3"/>
        <v>2203.5073719047286</v>
      </c>
      <c r="F29" s="118"/>
      <c r="G29" s="118"/>
      <c r="H29"/>
      <c r="I29"/>
      <c r="J29"/>
      <c r="K29"/>
      <c r="L29"/>
      <c r="M29" s="2"/>
      <c r="N29" s="12">
        <f t="shared" si="2"/>
        <v>2014</v>
      </c>
    </row>
    <row r="30" spans="1:14" x14ac:dyDescent="0.2">
      <c r="A30" s="12" t="str">
        <f t="shared" si="1"/>
        <v>3/31/2014</v>
      </c>
      <c r="B30"/>
      <c r="C30" s="226">
        <f>'[3]Boeckh (R)'!$E70</f>
        <v>2227.7073512500001</v>
      </c>
      <c r="D30" s="118">
        <f t="shared" si="4"/>
        <v>2219.0727507043775</v>
      </c>
      <c r="E30" s="118">
        <f t="shared" si="3"/>
        <v>2215.1562233292639</v>
      </c>
      <c r="F30" s="118"/>
      <c r="G30" s="118"/>
      <c r="H30"/>
      <c r="I30"/>
      <c r="J30"/>
      <c r="K30"/>
      <c r="L30"/>
      <c r="M30" s="2"/>
      <c r="N30" s="12">
        <f t="shared" si="2"/>
        <v>2014.25</v>
      </c>
    </row>
    <row r="31" spans="1:14" x14ac:dyDescent="0.2">
      <c r="A31" s="12" t="str">
        <f t="shared" si="1"/>
        <v>6/30/2014</v>
      </c>
      <c r="B31" s="113"/>
      <c r="C31" s="226">
        <f>'[3]Boeckh (R)'!$E71</f>
        <v>2252.6328937500002</v>
      </c>
      <c r="D31" s="118">
        <f t="shared" si="4"/>
        <v>2230.9911909970833</v>
      </c>
      <c r="E31" s="118">
        <f t="shared" si="3"/>
        <v>2226.8666564581658</v>
      </c>
      <c r="F31" s="118"/>
      <c r="G31" s="118"/>
      <c r="H31" s="29"/>
      <c r="I31" s="105"/>
      <c r="J31" s="29"/>
      <c r="K31" s="105"/>
      <c r="L31" s="105"/>
      <c r="M31" s="2"/>
      <c r="N31" s="12">
        <f t="shared" si="2"/>
        <v>2014.5</v>
      </c>
    </row>
    <row r="32" spans="1:14" x14ac:dyDescent="0.2">
      <c r="A32" s="12" t="str">
        <f t="shared" si="1"/>
        <v>9/30/2014</v>
      </c>
      <c r="B32" s="113"/>
      <c r="C32" s="226">
        <f>'[3]Boeckh (R)'!$E72</f>
        <v>2274.9976849999998</v>
      </c>
      <c r="D32" s="118">
        <f t="shared" si="4"/>
        <v>2242.9096312897891</v>
      </c>
      <c r="E32" s="118">
        <f t="shared" si="3"/>
        <v>2238.6389968433696</v>
      </c>
      <c r="F32" s="118"/>
      <c r="G32" s="118"/>
      <c r="H32" s="29"/>
      <c r="I32" s="105"/>
      <c r="J32" s="29"/>
      <c r="K32" s="105"/>
      <c r="L32" s="105"/>
      <c r="M32" s="2"/>
      <c r="N32" s="12">
        <f t="shared" si="2"/>
        <v>2014.75</v>
      </c>
    </row>
    <row r="33" spans="1:14" x14ac:dyDescent="0.2">
      <c r="A33" s="12" t="str">
        <f t="shared" si="1"/>
        <v>12/31/2014</v>
      </c>
      <c r="B33" s="51"/>
      <c r="C33" s="226">
        <f>'[3]Boeckh (R)'!$E73</f>
        <v>2296.7677665625006</v>
      </c>
      <c r="D33" s="118">
        <f t="shared" si="4"/>
        <v>2254.8280715825094</v>
      </c>
      <c r="E33" s="118">
        <f t="shared" si="3"/>
        <v>2250.4735717578424</v>
      </c>
      <c r="F33" s="118"/>
      <c r="G33" s="118"/>
      <c r="H33" s="29"/>
      <c r="I33" s="105"/>
      <c r="J33" s="29"/>
      <c r="K33" s="105"/>
      <c r="L33" s="105"/>
      <c r="M33" s="2"/>
      <c r="N33" s="12">
        <f t="shared" si="2"/>
        <v>2015</v>
      </c>
    </row>
    <row r="34" spans="1:14" x14ac:dyDescent="0.2">
      <c r="A34" s="12" t="str">
        <f t="shared" si="1"/>
        <v>3/31/2015</v>
      </c>
      <c r="B34" s="51"/>
      <c r="C34" s="226">
        <f>'[3]Boeckh (R)'!$E74</f>
        <v>2310.575920625</v>
      </c>
      <c r="D34" s="118">
        <f t="shared" si="4"/>
        <v>2266.7465118752152</v>
      </c>
      <c r="E34" s="118">
        <f t="shared" si="3"/>
        <v>2262.3707102047288</v>
      </c>
      <c r="F34" s="118">
        <f>TREND($C$34:$C$53,$N$34:$N$53,$N34,TRUE)</f>
        <v>2270.8117981249961</v>
      </c>
      <c r="G34" s="118">
        <f t="shared" ref="G34:G53" si="5">GROWTH($C$34:$C$53,$N$34:$N$53,$N34,TRUE)</f>
        <v>2273.2173085353347</v>
      </c>
      <c r="H34" s="29"/>
      <c r="I34" s="105"/>
      <c r="J34" s="29"/>
      <c r="K34" s="105"/>
      <c r="L34" s="105"/>
      <c r="M34" s="2"/>
      <c r="N34" s="12">
        <f t="shared" si="2"/>
        <v>2015.25</v>
      </c>
    </row>
    <row r="35" spans="1:14" x14ac:dyDescent="0.2">
      <c r="A35" s="12" t="str">
        <f t="shared" si="1"/>
        <v>6/30/2015</v>
      </c>
      <c r="B35" s="113"/>
      <c r="C35" s="226">
        <f>'[3]Boeckh (R)'!$E75</f>
        <v>2322.5219765625002</v>
      </c>
      <c r="D35" s="118">
        <f t="shared" si="4"/>
        <v>2278.6649521679356</v>
      </c>
      <c r="E35" s="118">
        <f t="shared" si="3"/>
        <v>2274.3307429264032</v>
      </c>
      <c r="F35" s="118">
        <f t="shared" ref="F35:F53" si="6">TREND($C$34:$C$53,$N$34:$N$53,$N35,TRUE)</f>
        <v>2282.3375571891374</v>
      </c>
      <c r="G35" s="118">
        <f t="shared" si="5"/>
        <v>2284.1427868008022</v>
      </c>
      <c r="H35" s="36"/>
      <c r="I35" s="105"/>
      <c r="J35" s="36"/>
      <c r="K35" s="105"/>
      <c r="L35" s="105"/>
      <c r="M35" s="2"/>
      <c r="N35" s="12">
        <f t="shared" si="2"/>
        <v>2015.5</v>
      </c>
    </row>
    <row r="36" spans="1:14" x14ac:dyDescent="0.2">
      <c r="A36" s="12" t="str">
        <f t="shared" si="1"/>
        <v>9/30/2015</v>
      </c>
      <c r="B36" s="22"/>
      <c r="C36" s="226">
        <f>'[3]Boeckh (R)'!$E76</f>
        <v>2330.3812862499999</v>
      </c>
      <c r="D36" s="118">
        <f t="shared" si="4"/>
        <v>2290.5833924606413</v>
      </c>
      <c r="E36" s="118">
        <f t="shared" si="3"/>
        <v>2286.3540024137096</v>
      </c>
      <c r="F36" s="118">
        <f t="shared" si="6"/>
        <v>2293.8633162532933</v>
      </c>
      <c r="G36" s="118">
        <f t="shared" si="5"/>
        <v>2295.1207748175011</v>
      </c>
      <c r="H36"/>
      <c r="I36"/>
      <c r="J36"/>
      <c r="K36"/>
      <c r="L36"/>
      <c r="M36" s="2"/>
      <c r="N36" s="12">
        <f t="shared" si="2"/>
        <v>2015.75</v>
      </c>
    </row>
    <row r="37" spans="1:14" x14ac:dyDescent="0.2">
      <c r="A37" s="12" t="str">
        <f t="shared" si="1"/>
        <v>12/31/2015</v>
      </c>
      <c r="B37" s="22"/>
      <c r="C37" s="226">
        <f>'[3]Boeckh (R)'!$E77</f>
        <v>2333.2555071874999</v>
      </c>
      <c r="D37" s="118">
        <f t="shared" si="4"/>
        <v>2302.5018327533617</v>
      </c>
      <c r="E37" s="118">
        <f t="shared" si="3"/>
        <v>2298.440822915255</v>
      </c>
      <c r="F37" s="118">
        <f t="shared" si="6"/>
        <v>2305.3890753174346</v>
      </c>
      <c r="G37" s="118">
        <f t="shared" si="5"/>
        <v>2306.1515249564077</v>
      </c>
      <c r="H37"/>
      <c r="J37"/>
      <c r="M37" s="2"/>
      <c r="N37" s="12">
        <f t="shared" si="2"/>
        <v>2016</v>
      </c>
    </row>
    <row r="38" spans="1:14" x14ac:dyDescent="0.2">
      <c r="A38" s="12" t="str">
        <f t="shared" si="1"/>
        <v>3/31/2016</v>
      </c>
      <c r="B38" s="22"/>
      <c r="C38" s="226">
        <f>'[3]Boeckh (R)'!$E78</f>
        <v>2328.6463168749997</v>
      </c>
      <c r="D38" s="118">
        <f t="shared" si="4"/>
        <v>2314.4202730460675</v>
      </c>
      <c r="E38" s="118">
        <f t="shared" si="3"/>
        <v>2310.5915404466054</v>
      </c>
      <c r="F38" s="118">
        <f t="shared" si="6"/>
        <v>2316.9148343815759</v>
      </c>
      <c r="G38" s="118">
        <f t="shared" si="5"/>
        <v>2317.2352908014864</v>
      </c>
      <c r="H38" s="118">
        <f>TREND($C$38:$C$53,$N$38:$N$53,$N38,TRUE)</f>
        <v>2275.6217636764777</v>
      </c>
      <c r="I38" s="118">
        <f t="shared" ref="I38:I53" si="7">GROWTH($C$38:$C$53,$N$38:$N$53,$N38,TRUE)</f>
        <v>2277.8933482220141</v>
      </c>
      <c r="J38" s="105"/>
      <c r="K38" s="105"/>
      <c r="L38" s="105"/>
      <c r="M38" s="2"/>
      <c r="N38" s="12">
        <f t="shared" si="2"/>
        <v>2016.25</v>
      </c>
    </row>
    <row r="39" spans="1:14" x14ac:dyDescent="0.2">
      <c r="A39" s="12" t="str">
        <f t="shared" si="1"/>
        <v>6/30/2016</v>
      </c>
      <c r="B39" s="22"/>
      <c r="C39" s="226">
        <f>'[3]Boeckh (R)'!$E79</f>
        <v>2320.7975212499996</v>
      </c>
      <c r="D39" s="118">
        <f t="shared" si="4"/>
        <v>2326.3387133387878</v>
      </c>
      <c r="E39" s="118">
        <f t="shared" si="3"/>
        <v>2322.8064927996738</v>
      </c>
      <c r="F39" s="118">
        <f t="shared" si="6"/>
        <v>2328.4405934457172</v>
      </c>
      <c r="G39" s="118">
        <f t="shared" si="5"/>
        <v>2328.3723271554531</v>
      </c>
      <c r="H39" s="118">
        <f t="shared" ref="H39:H53" si="8">TREND($C$38:$C$53,$N$38:$N$53,$N39,TRUE)</f>
        <v>2291.4504909701354</v>
      </c>
      <c r="I39" s="118">
        <f t="shared" si="7"/>
        <v>2292.9283444902276</v>
      </c>
      <c r="J39" s="105"/>
      <c r="K39" s="105"/>
      <c r="L39" s="105"/>
      <c r="M39" s="2"/>
      <c r="N39" s="12">
        <f t="shared" si="2"/>
        <v>2016.5</v>
      </c>
    </row>
    <row r="40" spans="1:14" x14ac:dyDescent="0.2">
      <c r="A40" s="12" t="str">
        <f t="shared" si="1"/>
        <v>9/30/2016</v>
      </c>
      <c r="B40" s="22"/>
      <c r="C40" s="226">
        <f>'[3]Boeckh (R)'!$E80</f>
        <v>2313.59063625</v>
      </c>
      <c r="D40" s="118">
        <f>TREND($C$14:$C$53,$N$14:$N$53,$N40,TRUE)</f>
        <v>2338.2571536314936</v>
      </c>
      <c r="E40" s="118">
        <f t="shared" si="3"/>
        <v>2335.0860195521609</v>
      </c>
      <c r="F40" s="118">
        <f t="shared" si="6"/>
        <v>2339.9663525098731</v>
      </c>
      <c r="G40" s="118">
        <f t="shared" si="5"/>
        <v>2339.5628900456518</v>
      </c>
      <c r="H40" s="118">
        <f t="shared" si="8"/>
        <v>2307.2792182637932</v>
      </c>
      <c r="I40" s="118">
        <f t="shared" si="7"/>
        <v>2308.0625776752718</v>
      </c>
      <c r="J40" s="105"/>
      <c r="K40" s="105"/>
      <c r="L40" s="105"/>
      <c r="M40" s="2"/>
      <c r="N40" s="12">
        <f t="shared" si="2"/>
        <v>2016.75</v>
      </c>
    </row>
    <row r="41" spans="1:14" x14ac:dyDescent="0.2">
      <c r="A41" s="12" t="str">
        <f t="shared" si="1"/>
        <v>12/31/2016</v>
      </c>
      <c r="B41" s="22"/>
      <c r="C41" s="226">
        <f>'[3]Boeckh (R)'!$E81</f>
        <v>2308.1697937499998</v>
      </c>
      <c r="D41" s="118">
        <f t="shared" si="4"/>
        <v>2350.1755939242139</v>
      </c>
      <c r="E41" s="118">
        <f t="shared" si="3"/>
        <v>2347.4304620768967</v>
      </c>
      <c r="F41" s="118">
        <f t="shared" si="6"/>
        <v>2351.4921115740144</v>
      </c>
      <c r="G41" s="118">
        <f t="shared" si="5"/>
        <v>2350.8072367299533</v>
      </c>
      <c r="H41" s="118">
        <f t="shared" si="8"/>
        <v>2323.1079455574509</v>
      </c>
      <c r="I41" s="118">
        <f t="shared" si="7"/>
        <v>2323.296702780031</v>
      </c>
      <c r="J41" s="50"/>
      <c r="K41" s="58"/>
      <c r="L41" s="58"/>
      <c r="M41" s="2"/>
      <c r="N41" s="12">
        <f t="shared" si="2"/>
        <v>2017</v>
      </c>
    </row>
    <row r="42" spans="1:14" x14ac:dyDescent="0.2">
      <c r="A42" s="12" t="str">
        <f t="shared" si="1"/>
        <v>3/31/2017</v>
      </c>
      <c r="C42" s="226">
        <f>'[3]Boeckh (R)'!$E82</f>
        <v>2311.2435409374998</v>
      </c>
      <c r="D42" s="118">
        <f t="shared" si="4"/>
        <v>2362.0940342169197</v>
      </c>
      <c r="E42" s="118">
        <f t="shared" si="3"/>
        <v>2359.8401635513974</v>
      </c>
      <c r="F42" s="118">
        <f t="shared" si="6"/>
        <v>2363.0178706381557</v>
      </c>
      <c r="G42" s="118">
        <f t="shared" si="5"/>
        <v>2362.1056257026053</v>
      </c>
      <c r="H42" s="118">
        <f t="shared" si="8"/>
        <v>2338.9366728511086</v>
      </c>
      <c r="I42" s="118">
        <f t="shared" si="7"/>
        <v>2338.6313791306666</v>
      </c>
      <c r="J42" s="118">
        <f>TREND($C$42:$C$53,$N$42:$N$53,$N42,TRUE)</f>
        <v>2305.7366279086273</v>
      </c>
      <c r="K42" s="118">
        <f t="shared" ref="K42:K53" si="9">GROWTH($C$42:$C$53,$N$42:$N$53,$N42,TRUE)</f>
        <v>2307.1419993506884</v>
      </c>
      <c r="L42" s="118"/>
      <c r="M42" s="2"/>
      <c r="N42" s="12">
        <f t="shared" si="2"/>
        <v>2017.25</v>
      </c>
    </row>
    <row r="43" spans="1:14" x14ac:dyDescent="0.2">
      <c r="A43" s="12" t="str">
        <f t="shared" si="1"/>
        <v>6/30/2017</v>
      </c>
      <c r="B43" s="113"/>
      <c r="C43" s="226">
        <f>'[3]Boeckh (R)'!$E83</f>
        <v>2323.7941315624998</v>
      </c>
      <c r="D43" s="118">
        <f>TREND($C$14:$C$53,$N$14:$N$53,$N43,TRUE)</f>
        <v>2374.01247450964</v>
      </c>
      <c r="E43" s="118">
        <f t="shared" si="3"/>
        <v>2372.3154689673711</v>
      </c>
      <c r="F43" s="118">
        <f t="shared" si="6"/>
        <v>2374.543629702297</v>
      </c>
      <c r="G43" s="118">
        <f t="shared" si="5"/>
        <v>2373.4583167002729</v>
      </c>
      <c r="H43" s="118">
        <f t="shared" si="8"/>
        <v>2354.7654001447663</v>
      </c>
      <c r="I43" s="118">
        <f t="shared" si="7"/>
        <v>2354.0672704051035</v>
      </c>
      <c r="J43" s="118">
        <f t="shared" ref="J43:J52" si="10">TREND($C$42:$C$53,$N$42:$N$53,$N43,TRUE)</f>
        <v>2326.484380803071</v>
      </c>
      <c r="K43" s="118">
        <f t="shared" si="9"/>
        <v>2327.0440813005252</v>
      </c>
      <c r="L43" s="118"/>
      <c r="M43" s="2"/>
      <c r="N43" s="12">
        <f t="shared" si="2"/>
        <v>2017.5</v>
      </c>
    </row>
    <row r="44" spans="1:14" x14ac:dyDescent="0.2">
      <c r="A44" s="12" t="str">
        <f t="shared" si="1"/>
        <v>9/30/2017</v>
      </c>
      <c r="C44" s="226">
        <f>'[3]Boeckh (R)'!$E84</f>
        <v>2340.8039171874998</v>
      </c>
      <c r="D44" s="118">
        <f t="shared" si="4"/>
        <v>2385.9309148023458</v>
      </c>
      <c r="E44" s="118">
        <f t="shared" si="3"/>
        <v>2384.8567251403774</v>
      </c>
      <c r="F44" s="118">
        <f t="shared" si="6"/>
        <v>2386.0693887664529</v>
      </c>
      <c r="G44" s="118">
        <f t="shared" si="5"/>
        <v>2384.8655707079456</v>
      </c>
      <c r="H44" s="118">
        <f t="shared" si="8"/>
        <v>2370.594127438424</v>
      </c>
      <c r="I44" s="118">
        <f t="shared" si="7"/>
        <v>2369.6050446618701</v>
      </c>
      <c r="J44" s="118">
        <f t="shared" si="10"/>
        <v>2347.2321336975438</v>
      </c>
      <c r="K44" s="118">
        <f t="shared" si="9"/>
        <v>2347.117844432556</v>
      </c>
      <c r="L44" s="118"/>
      <c r="M44" s="2"/>
      <c r="N44" s="12">
        <f t="shared" si="2"/>
        <v>2017.75</v>
      </c>
    </row>
    <row r="45" spans="1:14" x14ac:dyDescent="0.2">
      <c r="A45" s="12" t="str">
        <f t="shared" si="1"/>
        <v>12/31/2017</v>
      </c>
      <c r="C45" s="226">
        <f>'[3]Boeckh (R)'!$E85</f>
        <v>2360.0865974999997</v>
      </c>
      <c r="D45" s="118">
        <f t="shared" si="4"/>
        <v>2397.8493550950516</v>
      </c>
      <c r="E45" s="118">
        <f t="shared" si="3"/>
        <v>2397.4642807193673</v>
      </c>
      <c r="F45" s="118">
        <f t="shared" si="6"/>
        <v>2397.5951478305942</v>
      </c>
      <c r="G45" s="118">
        <f t="shared" si="5"/>
        <v>2396.3276499649523</v>
      </c>
      <c r="H45" s="118">
        <f t="shared" si="8"/>
        <v>2386.4228547320818</v>
      </c>
      <c r="I45" s="118">
        <f t="shared" si="7"/>
        <v>2385.2453743688775</v>
      </c>
      <c r="J45" s="118">
        <f t="shared" si="10"/>
        <v>2367.9798865919875</v>
      </c>
      <c r="K45" s="118">
        <f t="shared" si="9"/>
        <v>2367.3647697189253</v>
      </c>
      <c r="L45" s="118"/>
      <c r="M45" s="2"/>
      <c r="N45" s="12">
        <f t="shared" si="2"/>
        <v>2018</v>
      </c>
    </row>
    <row r="46" spans="1:14" x14ac:dyDescent="0.2">
      <c r="A46" s="12" t="str">
        <f t="shared" si="1"/>
        <v>3/31/2018</v>
      </c>
      <c r="C46" s="226">
        <f>'[3]Boeckh (R)'!$E86</f>
        <v>2380.3326815624996</v>
      </c>
      <c r="D46" s="118">
        <f t="shared" si="4"/>
        <v>2409.7677953877719</v>
      </c>
      <c r="E46" s="118">
        <f t="shared" si="3"/>
        <v>2410.1384861964243</v>
      </c>
      <c r="F46" s="118">
        <f t="shared" si="6"/>
        <v>2409.1209068947355</v>
      </c>
      <c r="G46" s="118">
        <f t="shared" si="5"/>
        <v>2407.8448179710058</v>
      </c>
      <c r="H46" s="118">
        <f t="shared" si="8"/>
        <v>2402.2515820257395</v>
      </c>
      <c r="I46" s="118">
        <f t="shared" si="7"/>
        <v>2400.9889364326423</v>
      </c>
      <c r="J46" s="118">
        <f t="shared" si="10"/>
        <v>2388.7276394864311</v>
      </c>
      <c r="K46" s="118">
        <f t="shared" si="9"/>
        <v>2387.7863509069766</v>
      </c>
      <c r="L46" s="118"/>
      <c r="M46" s="2"/>
      <c r="N46" s="12">
        <f t="shared" si="2"/>
        <v>2018.25</v>
      </c>
    </row>
    <row r="47" spans="1:14" x14ac:dyDescent="0.2">
      <c r="A47" s="12" t="str">
        <f t="shared" si="1"/>
        <v>6/30/2018</v>
      </c>
      <c r="C47" s="226">
        <f>'[3]Boeckh (R)'!$E87</f>
        <v>2404.1550571875</v>
      </c>
      <c r="D47" s="118">
        <f t="shared" si="4"/>
        <v>2421.6862356804777</v>
      </c>
      <c r="E47" s="118">
        <f t="shared" si="3"/>
        <v>2422.8796939165627</v>
      </c>
      <c r="F47" s="118">
        <f t="shared" si="6"/>
        <v>2420.6466659588768</v>
      </c>
      <c r="G47" s="118">
        <f t="shared" si="5"/>
        <v>2419.4173394921927</v>
      </c>
      <c r="H47" s="118">
        <f t="shared" si="8"/>
        <v>2418.0803093193972</v>
      </c>
      <c r="I47" s="118">
        <f t="shared" si="7"/>
        <v>2416.8364122275311</v>
      </c>
      <c r="J47" s="118">
        <f t="shared" si="10"/>
        <v>2409.4753923808748</v>
      </c>
      <c r="K47" s="118">
        <f t="shared" si="9"/>
        <v>2408.3840946296887</v>
      </c>
      <c r="L47" s="118"/>
      <c r="M47" s="2"/>
      <c r="N47" s="12">
        <f t="shared" si="2"/>
        <v>2018.5</v>
      </c>
    </row>
    <row r="48" spans="1:14" x14ac:dyDescent="0.2">
      <c r="A48" s="12" t="str">
        <f t="shared" si="1"/>
        <v>9/30/2018</v>
      </c>
      <c r="B48" s="113"/>
      <c r="C48" s="226">
        <f>'[3]Boeckh (R)'!$E88</f>
        <v>2433.3168421874998</v>
      </c>
      <c r="D48" s="118">
        <f t="shared" si="4"/>
        <v>2433.604675973198</v>
      </c>
      <c r="E48" s="118">
        <f t="shared" si="3"/>
        <v>2435.6882580874189</v>
      </c>
      <c r="F48" s="118">
        <f t="shared" si="6"/>
        <v>2432.1724250230181</v>
      </c>
      <c r="G48" s="118">
        <f t="shared" si="5"/>
        <v>2431.0454805671648</v>
      </c>
      <c r="H48" s="118">
        <f t="shared" si="8"/>
        <v>2433.9090366130549</v>
      </c>
      <c r="I48" s="118">
        <f t="shared" si="7"/>
        <v>2432.7884876251992</v>
      </c>
      <c r="J48" s="118">
        <f t="shared" si="10"/>
        <v>2430.2231452753185</v>
      </c>
      <c r="K48" s="118">
        <f t="shared" si="9"/>
        <v>2429.1595205165622</v>
      </c>
      <c r="L48" s="118"/>
      <c r="M48" s="2"/>
      <c r="N48" s="12">
        <f t="shared" si="2"/>
        <v>2018.75</v>
      </c>
    </row>
    <row r="49" spans="1:14" x14ac:dyDescent="0.2">
      <c r="A49" s="12" t="str">
        <f t="shared" si="1"/>
        <v>12/31/2018</v>
      </c>
      <c r="C49" s="226">
        <f>'[3]Boeckh (R)'!$E89</f>
        <v>2467.6029853125001</v>
      </c>
      <c r="D49" s="118">
        <f t="shared" si="4"/>
        <v>2445.5231162659038</v>
      </c>
      <c r="E49" s="118">
        <f t="shared" si="3"/>
        <v>2448.5645347891482</v>
      </c>
      <c r="F49" s="118">
        <f t="shared" si="6"/>
        <v>2443.698184087174</v>
      </c>
      <c r="G49" s="118">
        <f t="shared" si="5"/>
        <v>2442.7295085131827</v>
      </c>
      <c r="H49" s="118">
        <f t="shared" si="8"/>
        <v>2449.7377639067126</v>
      </c>
      <c r="I49" s="118">
        <f t="shared" si="7"/>
        <v>2448.845853024377</v>
      </c>
      <c r="J49" s="118">
        <f t="shared" si="10"/>
        <v>2450.9708981697913</v>
      </c>
      <c r="K49" s="118">
        <f t="shared" si="9"/>
        <v>2450.1141613059685</v>
      </c>
      <c r="L49" s="118"/>
      <c r="M49" s="2"/>
      <c r="N49" s="12">
        <f t="shared" si="2"/>
        <v>2019</v>
      </c>
    </row>
    <row r="50" spans="1:14" x14ac:dyDescent="0.2">
      <c r="A50" s="12" t="str">
        <f t="shared" si="1"/>
        <v>3/31/2019</v>
      </c>
      <c r="C50" s="226">
        <f>'[3]Boeckh (R)'!$E90</f>
        <v>2494.1881793749999</v>
      </c>
      <c r="D50" s="118">
        <f t="shared" si="4"/>
        <v>2457.4415565586241</v>
      </c>
      <c r="E50" s="118">
        <f t="shared" si="3"/>
        <v>2461.5088819843786</v>
      </c>
      <c r="F50" s="118">
        <f t="shared" si="6"/>
        <v>2455.2239431513153</v>
      </c>
      <c r="G50" s="118">
        <f t="shared" si="5"/>
        <v>2454.4696919323001</v>
      </c>
      <c r="H50" s="118">
        <f t="shared" si="8"/>
        <v>2465.5664912003704</v>
      </c>
      <c r="I50" s="118">
        <f t="shared" si="7"/>
        <v>2465.0092033807</v>
      </c>
      <c r="J50" s="118">
        <f t="shared" si="10"/>
        <v>2471.718651064235</v>
      </c>
      <c r="K50" s="118">
        <f t="shared" si="9"/>
        <v>2471.2495629581304</v>
      </c>
      <c r="L50" s="118"/>
      <c r="M50" s="2"/>
      <c r="N50" s="12">
        <f t="shared" si="2"/>
        <v>2019.25</v>
      </c>
    </row>
    <row r="51" spans="1:14" x14ac:dyDescent="0.2">
      <c r="A51" s="12" t="str">
        <f t="shared" si="1"/>
        <v>6/30/2019</v>
      </c>
      <c r="C51" s="226">
        <f>'[3]Boeckh (R)'!$E91</f>
        <v>2508.1578743749997</v>
      </c>
      <c r="D51" s="118">
        <f t="shared" si="4"/>
        <v>2469.3599968513299</v>
      </c>
      <c r="E51" s="118">
        <f t="shared" si="3"/>
        <v>2474.5216595280554</v>
      </c>
      <c r="F51" s="118">
        <f t="shared" si="6"/>
        <v>2466.7497022154566</v>
      </c>
      <c r="G51" s="118">
        <f t="shared" si="5"/>
        <v>2466.2663007174638</v>
      </c>
      <c r="H51" s="118">
        <f t="shared" si="8"/>
        <v>2481.3952184940281</v>
      </c>
      <c r="I51" s="118">
        <f t="shared" si="7"/>
        <v>2481.2792382367343</v>
      </c>
      <c r="J51" s="118">
        <f t="shared" si="10"/>
        <v>2492.4664039586787</v>
      </c>
      <c r="K51" s="118">
        <f t="shared" si="9"/>
        <v>2492.5672847690685</v>
      </c>
      <c r="L51" s="118"/>
      <c r="M51" s="2"/>
      <c r="N51" s="12">
        <f t="shared" si="2"/>
        <v>2019.5</v>
      </c>
    </row>
    <row r="52" spans="1:14" x14ac:dyDescent="0.2">
      <c r="A52" s="12" t="str">
        <f t="shared" si="1"/>
        <v>9/30/2019</v>
      </c>
      <c r="C52" s="226">
        <f>'[3]Boeckh (R)'!$E92</f>
        <v>2510.4392250000001</v>
      </c>
      <c r="D52" s="118">
        <f t="shared" si="4"/>
        <v>2481.2784371440503</v>
      </c>
      <c r="E52" s="118">
        <f t="shared" si="3"/>
        <v>2487.6032291775005</v>
      </c>
      <c r="F52" s="118">
        <f t="shared" si="6"/>
        <v>2478.2754612795979</v>
      </c>
      <c r="G52" s="118">
        <f t="shared" si="5"/>
        <v>2478.1196060588281</v>
      </c>
      <c r="H52" s="118">
        <f t="shared" si="8"/>
        <v>2497.2239457876858</v>
      </c>
      <c r="I52" s="118">
        <f t="shared" si="7"/>
        <v>2497.6566617523713</v>
      </c>
      <c r="J52" s="118">
        <f t="shared" si="10"/>
        <v>2513.2141568531224</v>
      </c>
      <c r="K52" s="118">
        <f t="shared" si="9"/>
        <v>2514.0688994858915</v>
      </c>
      <c r="L52" s="118"/>
      <c r="M52" s="2"/>
      <c r="N52" s="12">
        <f t="shared" si="2"/>
        <v>2019.75</v>
      </c>
    </row>
    <row r="53" spans="1:14" x14ac:dyDescent="0.2">
      <c r="A53" s="12" t="str">
        <f>TEXT(N9,"m/d/yyyy")</f>
        <v>12/31/2019</v>
      </c>
      <c r="C53" s="226">
        <f>'[3]Boeckh (R)'!$E93</f>
        <v>2504.0701937499998</v>
      </c>
      <c r="D53" s="118">
        <f t="shared" si="4"/>
        <v>2493.196877436756</v>
      </c>
      <c r="E53" s="118">
        <f t="shared" si="3"/>
        <v>2500.7539546025187</v>
      </c>
      <c r="F53" s="118">
        <f t="shared" si="6"/>
        <v>2489.8012203437538</v>
      </c>
      <c r="G53" s="118">
        <f t="shared" si="5"/>
        <v>2490.0298804499148</v>
      </c>
      <c r="H53" s="118">
        <f t="shared" si="8"/>
        <v>2513.0526730813435</v>
      </c>
      <c r="I53" s="118">
        <f t="shared" si="7"/>
        <v>2514.1421827351669</v>
      </c>
      <c r="J53" s="118">
        <f>TREND($C$42:$C$53,$N$42:$N$53,$N53,TRUE)</f>
        <v>2533.9619097475661</v>
      </c>
      <c r="K53" s="118">
        <f t="shared" si="9"/>
        <v>2535.7559934225396</v>
      </c>
      <c r="L53" s="168"/>
      <c r="M53" s="2"/>
      <c r="N53" s="12">
        <f t="shared" si="2"/>
        <v>2020</v>
      </c>
    </row>
    <row r="54" spans="1:14" x14ac:dyDescent="0.2">
      <c r="A54" s="119"/>
      <c r="B54" s="9"/>
      <c r="C54" s="193"/>
      <c r="D54" s="120"/>
      <c r="E54" s="120"/>
      <c r="F54" s="120"/>
      <c r="G54" s="120"/>
      <c r="H54" s="120"/>
      <c r="I54" s="120"/>
      <c r="J54" s="120"/>
      <c r="K54" s="120"/>
      <c r="M54" s="2"/>
    </row>
    <row r="55" spans="1:14" x14ac:dyDescent="0.2">
      <c r="A55" s="50"/>
      <c r="B55" s="107"/>
      <c r="C55" s="50"/>
      <c r="D55" s="50"/>
      <c r="E55" s="50"/>
      <c r="F55" s="50"/>
      <c r="G55" s="50"/>
      <c r="H55" s="50"/>
      <c r="I55" s="101"/>
      <c r="J55" s="50"/>
      <c r="K55" s="50"/>
      <c r="L55" s="50"/>
      <c r="M55" s="2"/>
    </row>
    <row r="56" spans="1:14" x14ac:dyDescent="0.2">
      <c r="A56" s="12" t="s">
        <v>260</v>
      </c>
      <c r="C56"/>
      <c r="D56" s="20">
        <f>(D53-D49)/D53</f>
        <v>1.9121538937536854E-2</v>
      </c>
      <c r="E56" s="20">
        <f>LOGEST($C$14:$C$53,$N$14:$N$53,TRUE,TRUE)-1</f>
        <v>2.1314292138050472E-2</v>
      </c>
      <c r="F56" s="20">
        <f>(F53-F49)/F53</f>
        <v>1.8516753819493508E-2</v>
      </c>
      <c r="G56" s="20">
        <f>LOGEST($C$34:$C$53,$N$34:$N$53,TRUE,TRUE)-1</f>
        <v>1.936373707030703E-2</v>
      </c>
      <c r="H56" s="20">
        <f>(H53-H49)/H53</f>
        <v>2.5194421849104427E-2</v>
      </c>
      <c r="I56" s="20">
        <f>LOGEST($C$38:$C$53,$N$38:$N$53,TRUE,TRUE)-1</f>
        <v>2.6664124093453534E-2</v>
      </c>
      <c r="J56" s="20">
        <f>(J53-J49)/J53</f>
        <v>3.2751483460950033E-2</v>
      </c>
      <c r="K56" s="20">
        <f>LOGEST($C$42:$C$53,$N$42:$N$53,TRUE,TRUE)-1</f>
        <v>3.4954221100827798E-2</v>
      </c>
      <c r="L56" s="20"/>
      <c r="M56" s="2"/>
    </row>
    <row r="57" spans="1:14" x14ac:dyDescent="0.2">
      <c r="A57" s="121" t="s">
        <v>261</v>
      </c>
      <c r="B57" s="113"/>
      <c r="C57" s="103"/>
      <c r="D57" s="104">
        <f>INDEX(LINEST($C$14:$C$53,$N$14:$N$53,TRUE,TRUE),3,1)</f>
        <v>0.95530100323726108</v>
      </c>
      <c r="E57" s="104">
        <f>INDEX(LOGEST($C$14:$C$53,$N$14:$N$53,TRUE,TRUE),3,1)</f>
        <v>0.95694543495744777</v>
      </c>
      <c r="F57" s="104">
        <f>INDEX(LINEST($C$34:$C$53,$N$34:$N$53,TRUE,TRUE),3,1)</f>
        <v>0.79391873298098481</v>
      </c>
      <c r="G57" s="104">
        <f>INDEX(LOGEST($C$34:$C$53,$N$34:$N$53,TRUE,TRUE),3,1)</f>
        <v>0.79573645840361273</v>
      </c>
      <c r="H57" s="104">
        <f>INDEX(LINEST($C$38:$C$53,$N$38:$N$53,TRUE,TRUE),3,1)</f>
        <v>0.8946831790692007</v>
      </c>
      <c r="I57" s="104">
        <f>INDEX(LOGEST($C$38:$C$53,$N$38:$N$53,TRUE,TRUE),3,1)</f>
        <v>0.89613239927610555</v>
      </c>
      <c r="J57" s="104">
        <f>INDEX(LINEST($C$42:$C$53,$N$42:$N$53,TRUE,TRUE),3,1)</f>
        <v>0.96581995967126211</v>
      </c>
      <c r="K57" s="104">
        <f>INDEX(LOGEST($C$42:$C$53,$N$42:$N$53,TRUE,TRUE),3,1)</f>
        <v>0.96588109393981614</v>
      </c>
      <c r="L57" s="104"/>
      <c r="M57" s="2"/>
    </row>
    <row r="58" spans="1:14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4" ht="12" thickTop="1" x14ac:dyDescent="0.2">
      <c r="A59"/>
      <c r="B59"/>
      <c r="C59"/>
      <c r="D59"/>
      <c r="E59"/>
      <c r="F59"/>
      <c r="G59" s="50"/>
      <c r="H59"/>
      <c r="I59" s="50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22" t="str">
        <f>C12&amp;" = Average Index for Corpus Christi and Houston"</f>
        <v>(2) = Average Index for Corpus Christi and Houston</v>
      </c>
      <c r="C61"/>
      <c r="D61"/>
      <c r="E61"/>
      <c r="F61"/>
      <c r="H61"/>
      <c r="J61"/>
      <c r="K61"/>
      <c r="L61"/>
      <c r="M61" s="2"/>
    </row>
    <row r="62" spans="1:14" x14ac:dyDescent="0.2">
      <c r="A62" s="101"/>
      <c r="B62" s="22" t="str">
        <f>D12&amp;" - "&amp;K12&amp;" = "&amp;C12&amp;" fitted to linear and exponential distributions"</f>
        <v>(3) - (10) = (2) fitted to linear and exponential distributions</v>
      </c>
      <c r="C62" s="101"/>
      <c r="D62" s="101"/>
      <c r="E62" s="101"/>
      <c r="F62" s="101"/>
      <c r="G62" s="101"/>
      <c r="H62" s="101"/>
      <c r="I62" s="50"/>
      <c r="M62" s="2"/>
    </row>
    <row r="63" spans="1:14" x14ac:dyDescent="0.2">
      <c r="A63" s="101"/>
      <c r="B63" s="22"/>
      <c r="C63" s="101"/>
      <c r="D63" s="101"/>
      <c r="E63" s="101"/>
      <c r="F63" s="101"/>
      <c r="G63" s="101"/>
      <c r="H63" s="101"/>
      <c r="I63" s="50"/>
      <c r="M63" s="2"/>
    </row>
    <row r="64" spans="1:14" x14ac:dyDescent="0.2">
      <c r="A64" s="101"/>
      <c r="B64" s="22"/>
      <c r="C64" s="101"/>
      <c r="D64" s="101"/>
      <c r="E64" s="101"/>
      <c r="F64" s="101"/>
      <c r="G64" s="101"/>
      <c r="H64" s="101"/>
      <c r="I64" s="50"/>
      <c r="M64" s="2"/>
    </row>
    <row r="65" spans="1:13" x14ac:dyDescent="0.2">
      <c r="A65" s="101"/>
      <c r="B65" s="22"/>
      <c r="C65" s="101"/>
      <c r="D65" s="101"/>
      <c r="E65" s="101"/>
      <c r="F65" s="101"/>
      <c r="G65" s="101"/>
      <c r="H65" s="101"/>
      <c r="I65" s="50"/>
      <c r="M65" s="2"/>
    </row>
    <row r="66" spans="1:13" x14ac:dyDescent="0.2">
      <c r="A66" s="101"/>
      <c r="B66" s="22"/>
      <c r="C66" s="101"/>
      <c r="D66" s="101"/>
      <c r="E66" s="101"/>
      <c r="F66" s="101"/>
      <c r="G66" s="101"/>
      <c r="H66" s="101"/>
      <c r="I66" s="50"/>
      <c r="M66" s="2"/>
    </row>
    <row r="67" spans="1:13" x14ac:dyDescent="0.2">
      <c r="A67" s="101"/>
      <c r="B67" s="22"/>
      <c r="C67" s="101"/>
      <c r="D67" s="101"/>
      <c r="E67" s="101"/>
      <c r="F67" s="101"/>
      <c r="G67" s="101"/>
      <c r="H67" s="101"/>
      <c r="I67" s="50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rgb="FF92D050"/>
  </sheetPr>
  <dimension ref="A1:N70"/>
  <sheetViews>
    <sheetView showGridLines="0" workbookViewId="0">
      <selection activeCell="P33" sqref="P33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</row>
    <row r="2" spans="1:14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59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09" t="s">
        <v>236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09" t="s">
        <v>263</v>
      </c>
      <c r="C5"/>
      <c r="D5"/>
      <c r="E5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A8"/>
      <c r="B8"/>
      <c r="C8"/>
      <c r="D8"/>
      <c r="E8"/>
      <c r="F8"/>
      <c r="G8"/>
      <c r="H8"/>
      <c r="I8" s="50"/>
      <c r="J8"/>
      <c r="K8" s="50"/>
      <c r="L8" s="50"/>
      <c r="M8" s="2"/>
      <c r="N8" t="s">
        <v>238</v>
      </c>
    </row>
    <row r="9" spans="1:14" x14ac:dyDescent="0.2">
      <c r="A9"/>
      <c r="B9"/>
      <c r="C9" s="22"/>
      <c r="D9" s="10" t="s">
        <v>253</v>
      </c>
      <c r="E9"/>
      <c r="F9" s="10"/>
      <c r="G9"/>
      <c r="H9"/>
      <c r="I9"/>
      <c r="J9"/>
      <c r="K9"/>
      <c r="L9"/>
      <c r="M9" s="2"/>
      <c r="N9" s="91">
        <v>43830</v>
      </c>
    </row>
    <row r="10" spans="1:14" x14ac:dyDescent="0.2">
      <c r="A10" t="s">
        <v>239</v>
      </c>
      <c r="B10"/>
      <c r="C10" t="s">
        <v>242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</row>
    <row r="11" spans="1:14" x14ac:dyDescent="0.2">
      <c r="A11" s="9" t="s">
        <v>34</v>
      </c>
      <c r="B11" s="9"/>
      <c r="C11" s="9" t="s">
        <v>245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12" t="str">
        <f t="shared" ref="A14:A53" si="1">TEXT(DATE(YEAR(A15+1),MONTH(A15+1)-3,1)-1,"m/d/yyyy")</f>
        <v>9/30/2009</v>
      </c>
      <c r="B14" s="25"/>
      <c r="C14" s="192">
        <f>[3]CPI!$H92</f>
        <v>179.3</v>
      </c>
      <c r="D14" s="118">
        <f>TREND($C$14:$C$55,$N$14:$N$55,$N14,TRUE)</f>
        <v>177.20470653377561</v>
      </c>
      <c r="E14" s="118">
        <f>GROWTH($C$14:$C$55,$N$14:$N$55,$N14,TRUE)</f>
        <v>177.40683324442401</v>
      </c>
      <c r="F14" s="118"/>
      <c r="G14" s="118"/>
      <c r="H14" s="36"/>
      <c r="I14"/>
      <c r="J14" s="36"/>
      <c r="K14"/>
      <c r="L14"/>
      <c r="M14" s="2"/>
      <c r="N14" s="12">
        <f t="shared" ref="N14:N55" si="2">YEAR(A14)+MONTH(A14)/12</f>
        <v>2009.75</v>
      </c>
    </row>
    <row r="15" spans="1:14" x14ac:dyDescent="0.2">
      <c r="A15" s="12" t="str">
        <f t="shared" si="1"/>
        <v>12/31/2009</v>
      </c>
      <c r="B15" s="101"/>
      <c r="C15" s="192">
        <f>[3]CPI!$H93</f>
        <v>178.8</v>
      </c>
      <c r="D15" s="118">
        <f t="shared" ref="D15:D54" si="3">TREND($C$14:$C$55,$N$14:$N$55,$N15,TRUE)</f>
        <v>177.74058612214048</v>
      </c>
      <c r="E15" s="118">
        <f t="shared" ref="E15:E55" si="4">GROWTH($C$14:$C$55,$N$14:$N$55,$N15,TRUE)</f>
        <v>177.91297911556074</v>
      </c>
      <c r="F15" s="101"/>
      <c r="G15" s="101"/>
      <c r="H15" s="101"/>
      <c r="I15" s="101"/>
      <c r="J15" s="101"/>
      <c r="K15"/>
      <c r="L15"/>
      <c r="M15" s="2"/>
      <c r="N15" s="12">
        <f t="shared" si="2"/>
        <v>2010</v>
      </c>
    </row>
    <row r="16" spans="1:14" x14ac:dyDescent="0.2">
      <c r="A16" s="12" t="str">
        <f t="shared" si="1"/>
        <v>3/31/2010</v>
      </c>
      <c r="B16" s="25"/>
      <c r="C16" s="192">
        <f>[3]CPI!$H94</f>
        <v>178.46</v>
      </c>
      <c r="D16" s="118">
        <f t="shared" si="3"/>
        <v>178.27646571050445</v>
      </c>
      <c r="E16" s="118">
        <f t="shared" si="4"/>
        <v>178.42056903278174</v>
      </c>
      <c r="F16" s="118"/>
      <c r="G16" s="118"/>
      <c r="H16" s="36"/>
      <c r="I16"/>
      <c r="J16" s="36"/>
      <c r="K16"/>
      <c r="L16"/>
      <c r="M16" s="2"/>
      <c r="N16" s="12">
        <f t="shared" si="2"/>
        <v>2010.25</v>
      </c>
    </row>
    <row r="17" spans="1:14" x14ac:dyDescent="0.2">
      <c r="A17" s="12" t="str">
        <f t="shared" si="1"/>
        <v>6/30/2010</v>
      </c>
      <c r="B17" s="25"/>
      <c r="C17" s="192">
        <f>[3]CPI!$H95</f>
        <v>178.56</v>
      </c>
      <c r="D17" s="118">
        <f t="shared" si="3"/>
        <v>178.81234529886842</v>
      </c>
      <c r="E17" s="118">
        <f t="shared" si="4"/>
        <v>178.92960711598451</v>
      </c>
      <c r="F17" s="118"/>
      <c r="G17" s="118"/>
      <c r="H17" s="36"/>
      <c r="I17"/>
      <c r="J17" s="36"/>
      <c r="K17"/>
      <c r="L17"/>
      <c r="M17" s="2"/>
      <c r="N17" s="12">
        <f t="shared" si="2"/>
        <v>2010.5</v>
      </c>
    </row>
    <row r="18" spans="1:14" x14ac:dyDescent="0.2">
      <c r="A18" s="12" t="str">
        <f t="shared" si="1"/>
        <v>9/30/2010</v>
      </c>
      <c r="B18" s="25"/>
      <c r="C18" s="192">
        <f>[3]CPI!$H96</f>
        <v>178.59</v>
      </c>
      <c r="D18" s="118">
        <f t="shared" si="3"/>
        <v>179.34822488723239</v>
      </c>
      <c r="E18" s="118">
        <f t="shared" si="4"/>
        <v>179.44009749682061</v>
      </c>
      <c r="F18" s="118"/>
      <c r="G18" s="118"/>
      <c r="H18" s="36"/>
      <c r="I18"/>
      <c r="J18" s="36"/>
      <c r="K18"/>
      <c r="L18"/>
      <c r="M18" s="2"/>
      <c r="N18" s="12">
        <f t="shared" si="2"/>
        <v>2010.75</v>
      </c>
    </row>
    <row r="19" spans="1:14" x14ac:dyDescent="0.2">
      <c r="A19" s="12" t="str">
        <f t="shared" si="1"/>
        <v>12/31/2010</v>
      </c>
      <c r="B19" s="25"/>
      <c r="C19" s="192">
        <f>[3]CPI!$H97</f>
        <v>178.72</v>
      </c>
      <c r="D19" s="118">
        <f t="shared" si="3"/>
        <v>179.88410447559636</v>
      </c>
      <c r="E19" s="118">
        <f t="shared" si="4"/>
        <v>179.95204431872946</v>
      </c>
      <c r="F19" s="118"/>
      <c r="G19" s="118"/>
      <c r="H19" s="36"/>
      <c r="I19"/>
      <c r="J19" s="36"/>
      <c r="K19"/>
      <c r="L19"/>
      <c r="M19" s="2"/>
      <c r="N19" s="12">
        <f t="shared" si="2"/>
        <v>2011</v>
      </c>
    </row>
    <row r="20" spans="1:14" x14ac:dyDescent="0.2">
      <c r="A20" s="12" t="str">
        <f t="shared" si="1"/>
        <v>3/31/2011</v>
      </c>
      <c r="B20" s="25"/>
      <c r="C20" s="192">
        <f>[3]CPI!$H98</f>
        <v>178.97</v>
      </c>
      <c r="D20" s="118">
        <f>TREND($C$14:$C$55,$N$14:$N$55,$N20,TRUE)</f>
        <v>180.41998406396033</v>
      </c>
      <c r="E20" s="118">
        <f t="shared" si="4"/>
        <v>180.46545173697228</v>
      </c>
      <c r="F20" s="118"/>
      <c r="G20" s="118"/>
      <c r="H20" s="36"/>
      <c r="I20"/>
      <c r="J20" s="36"/>
      <c r="K20"/>
      <c r="L20"/>
      <c r="M20" s="2"/>
      <c r="N20" s="12">
        <f t="shared" si="2"/>
        <v>2011.25</v>
      </c>
    </row>
    <row r="21" spans="1:14" x14ac:dyDescent="0.2">
      <c r="A21" s="12" t="str">
        <f t="shared" si="1"/>
        <v>6/30/2011</v>
      </c>
      <c r="B21" s="25"/>
      <c r="C21" s="192">
        <f>[3]CPI!$H99</f>
        <v>179.61</v>
      </c>
      <c r="D21" s="118">
        <f t="shared" si="3"/>
        <v>180.9558636523243</v>
      </c>
      <c r="E21" s="118">
        <f t="shared" si="4"/>
        <v>180.98032391866357</v>
      </c>
      <c r="F21" s="118"/>
      <c r="G21" s="118"/>
      <c r="H21" s="36"/>
      <c r="I21"/>
      <c r="J21" s="36"/>
      <c r="K21"/>
      <c r="L21"/>
      <c r="M21" s="2"/>
      <c r="N21" s="12">
        <f t="shared" si="2"/>
        <v>2011.5</v>
      </c>
    </row>
    <row r="22" spans="1:14" x14ac:dyDescent="0.2">
      <c r="A22" s="12" t="str">
        <f t="shared" si="1"/>
        <v>9/30/2011</v>
      </c>
      <c r="B22" s="25"/>
      <c r="C22" s="192">
        <f>[3]CPI!$H100</f>
        <v>180.52</v>
      </c>
      <c r="D22" s="118">
        <f t="shared" si="3"/>
        <v>181.49174324068827</v>
      </c>
      <c r="E22" s="118">
        <f t="shared" si="4"/>
        <v>181.4966650428085</v>
      </c>
      <c r="F22" s="118"/>
      <c r="G22" s="118"/>
      <c r="H22" s="36"/>
      <c r="I22"/>
      <c r="J22" s="36"/>
      <c r="K22"/>
      <c r="L22"/>
      <c r="M22" s="2"/>
      <c r="N22" s="12">
        <f t="shared" si="2"/>
        <v>2011.75</v>
      </c>
    </row>
    <row r="23" spans="1:14" x14ac:dyDescent="0.2">
      <c r="A23" s="12" t="str">
        <f t="shared" si="1"/>
        <v>12/31/2011</v>
      </c>
      <c r="B23" s="51"/>
      <c r="C23" s="192">
        <f>[3]CPI!$H101</f>
        <v>181.55</v>
      </c>
      <c r="D23" s="118">
        <f t="shared" si="3"/>
        <v>182.02762282905223</v>
      </c>
      <c r="E23" s="118">
        <f t="shared" si="4"/>
        <v>182.01447930033456</v>
      </c>
      <c r="F23" s="118"/>
      <c r="G23" s="118"/>
      <c r="H23" s="36"/>
      <c r="I23"/>
      <c r="J23" s="36"/>
      <c r="K23"/>
      <c r="L23"/>
      <c r="M23" s="2"/>
      <c r="N23" s="12">
        <f t="shared" si="2"/>
        <v>2012</v>
      </c>
    </row>
    <row r="24" spans="1:14" x14ac:dyDescent="0.2">
      <c r="A24" s="12" t="str">
        <f t="shared" si="1"/>
        <v>3/31/2012</v>
      </c>
      <c r="B24"/>
      <c r="C24" s="192">
        <f>[3]CPI!$H102</f>
        <v>182.78</v>
      </c>
      <c r="D24" s="118">
        <f t="shared" si="3"/>
        <v>182.5635024174162</v>
      </c>
      <c r="E24" s="118">
        <f t="shared" si="4"/>
        <v>182.53377089412587</v>
      </c>
      <c r="F24" s="118"/>
      <c r="G24" s="118"/>
      <c r="H24"/>
      <c r="I24"/>
      <c r="J24"/>
      <c r="K24"/>
      <c r="L24"/>
      <c r="M24" s="2"/>
      <c r="N24" s="12">
        <f t="shared" si="2"/>
        <v>2012.25</v>
      </c>
    </row>
    <row r="25" spans="1:14" x14ac:dyDescent="0.2">
      <c r="A25" s="12" t="str">
        <f t="shared" si="1"/>
        <v>6/30/2012</v>
      </c>
      <c r="B25"/>
      <c r="C25" s="192">
        <f>[3]CPI!$H103</f>
        <v>183.87</v>
      </c>
      <c r="D25" s="118">
        <f t="shared" si="3"/>
        <v>183.09938200578017</v>
      </c>
      <c r="E25" s="118">
        <f t="shared" si="4"/>
        <v>183.05454403905765</v>
      </c>
      <c r="F25" s="118"/>
      <c r="G25" s="118"/>
      <c r="H25"/>
      <c r="I25"/>
      <c r="J25"/>
      <c r="K25"/>
      <c r="L25"/>
      <c r="M25" s="2"/>
      <c r="N25" s="12">
        <f t="shared" si="2"/>
        <v>2012.5</v>
      </c>
    </row>
    <row r="26" spans="1:14" x14ac:dyDescent="0.2">
      <c r="A26" s="12" t="str">
        <f t="shared" si="1"/>
        <v>9/30/2012</v>
      </c>
      <c r="B26"/>
      <c r="C26" s="192">
        <f>[3]CPI!$H104</f>
        <v>184.57</v>
      </c>
      <c r="D26" s="118">
        <f t="shared" si="3"/>
        <v>183.63526159414414</v>
      </c>
      <c r="E26" s="118">
        <f t="shared" si="4"/>
        <v>183.57680296203009</v>
      </c>
      <c r="F26" s="118"/>
      <c r="G26" s="118"/>
      <c r="H26"/>
      <c r="I26"/>
      <c r="J26"/>
      <c r="K26"/>
      <c r="L26"/>
      <c r="M26" s="2"/>
      <c r="N26" s="12">
        <f t="shared" si="2"/>
        <v>2012.75</v>
      </c>
    </row>
    <row r="27" spans="1:14" x14ac:dyDescent="0.2">
      <c r="A27" s="12" t="str">
        <f t="shared" si="1"/>
        <v>12/31/2012</v>
      </c>
      <c r="B27"/>
      <c r="C27" s="192">
        <f>[3]CPI!$H105</f>
        <v>185.03</v>
      </c>
      <c r="D27" s="118">
        <f t="shared" si="3"/>
        <v>184.17114118250811</v>
      </c>
      <c r="E27" s="118">
        <f t="shared" si="4"/>
        <v>184.10055190200299</v>
      </c>
      <c r="F27" s="118"/>
      <c r="G27" s="118"/>
      <c r="H27"/>
      <c r="I27"/>
      <c r="J27"/>
      <c r="K27"/>
      <c r="L27"/>
      <c r="M27" s="2"/>
      <c r="N27" s="12">
        <f t="shared" si="2"/>
        <v>2013</v>
      </c>
    </row>
    <row r="28" spans="1:14" x14ac:dyDescent="0.2">
      <c r="A28" s="12" t="str">
        <f t="shared" si="1"/>
        <v>3/31/2013</v>
      </c>
      <c r="B28"/>
      <c r="C28" s="192">
        <f>[3]CPI!$H106</f>
        <v>185.38</v>
      </c>
      <c r="D28" s="118">
        <f t="shared" si="3"/>
        <v>184.70702077087208</v>
      </c>
      <c r="E28" s="118">
        <f t="shared" si="4"/>
        <v>184.62579511002991</v>
      </c>
      <c r="F28" s="118"/>
      <c r="G28" s="118"/>
      <c r="H28"/>
      <c r="I28"/>
      <c r="J28"/>
      <c r="K28"/>
      <c r="L28"/>
      <c r="M28" s="2"/>
      <c r="N28" s="12">
        <f t="shared" si="2"/>
        <v>2013.25</v>
      </c>
    </row>
    <row r="29" spans="1:14" x14ac:dyDescent="0.2">
      <c r="A29" s="12" t="str">
        <f t="shared" si="1"/>
        <v>6/30/2013</v>
      </c>
      <c r="B29"/>
      <c r="C29" s="192">
        <f>[3]CPI!$H107</f>
        <v>185.51</v>
      </c>
      <c r="D29" s="118">
        <f t="shared" si="3"/>
        <v>185.24290035923605</v>
      </c>
      <c r="E29" s="118">
        <f>GROWTH($C$14:$C$55,$N$14:$N$55,$N29,TRUE)</f>
        <v>185.15253684929277</v>
      </c>
      <c r="F29" s="118"/>
      <c r="G29" s="118"/>
      <c r="H29"/>
      <c r="I29"/>
      <c r="J29"/>
      <c r="K29"/>
      <c r="L29"/>
      <c r="M29" s="2"/>
      <c r="N29" s="12">
        <f t="shared" si="2"/>
        <v>2013.5</v>
      </c>
    </row>
    <row r="30" spans="1:14" x14ac:dyDescent="0.2">
      <c r="A30" s="12" t="str">
        <f t="shared" si="1"/>
        <v>9/30/2013</v>
      </c>
      <c r="B30"/>
      <c r="C30" s="192">
        <f>[3]CPI!$H108</f>
        <v>185.82</v>
      </c>
      <c r="D30" s="118">
        <f t="shared" si="3"/>
        <v>185.77877994760001</v>
      </c>
      <c r="E30" s="118">
        <f t="shared" si="4"/>
        <v>185.68078139513642</v>
      </c>
      <c r="F30" s="118"/>
      <c r="G30" s="118"/>
      <c r="H30"/>
      <c r="I30"/>
      <c r="J30"/>
      <c r="K30"/>
      <c r="L30"/>
      <c r="M30" s="2"/>
      <c r="N30" s="12">
        <f t="shared" si="2"/>
        <v>2013.75</v>
      </c>
    </row>
    <row r="31" spans="1:14" x14ac:dyDescent="0.2">
      <c r="A31" s="12" t="str">
        <f t="shared" si="1"/>
        <v>12/31/2013</v>
      </c>
      <c r="B31" s="113"/>
      <c r="C31" s="192">
        <f>[3]CPI!$H109</f>
        <v>186.03</v>
      </c>
      <c r="D31" s="118">
        <f t="shared" si="3"/>
        <v>186.31465953596398</v>
      </c>
      <c r="E31" s="118">
        <f t="shared" si="4"/>
        <v>186.21053303510345</v>
      </c>
      <c r="F31" s="118"/>
      <c r="G31" s="118"/>
      <c r="H31" s="29"/>
      <c r="I31" s="105"/>
      <c r="J31" s="29"/>
      <c r="K31" s="105"/>
      <c r="L31" s="105"/>
      <c r="M31" s="2"/>
      <c r="N31" s="12">
        <f t="shared" si="2"/>
        <v>2014</v>
      </c>
    </row>
    <row r="32" spans="1:14" x14ac:dyDescent="0.2">
      <c r="A32" s="12" t="str">
        <f t="shared" si="1"/>
        <v>3/31/2014</v>
      </c>
      <c r="B32" s="113"/>
      <c r="C32" s="192">
        <f>[3]CPI!$H110</f>
        <v>186.43</v>
      </c>
      <c r="D32" s="118">
        <f t="shared" si="3"/>
        <v>186.85053912432795</v>
      </c>
      <c r="E32" s="118">
        <f t="shared" si="4"/>
        <v>186.74179606896891</v>
      </c>
      <c r="F32" s="118"/>
      <c r="G32" s="118"/>
      <c r="H32" s="29"/>
      <c r="I32" s="105"/>
      <c r="J32" s="29"/>
      <c r="K32" s="105"/>
      <c r="L32" s="105"/>
      <c r="M32" s="2"/>
      <c r="N32" s="12">
        <f t="shared" si="2"/>
        <v>2014.25</v>
      </c>
    </row>
    <row r="33" spans="1:14" x14ac:dyDescent="0.2">
      <c r="A33" s="12" t="str">
        <f t="shared" si="1"/>
        <v>6/30/2014</v>
      </c>
      <c r="B33" s="51"/>
      <c r="C33" s="192">
        <f>[3]CPI!$H111</f>
        <v>186.87</v>
      </c>
      <c r="D33" s="118">
        <f t="shared" si="3"/>
        <v>187.38641871269192</v>
      </c>
      <c r="E33" s="118">
        <f t="shared" si="4"/>
        <v>187.27457480877507</v>
      </c>
      <c r="F33" s="118"/>
      <c r="G33" s="118"/>
      <c r="H33" s="29"/>
      <c r="I33" s="105"/>
      <c r="J33" s="29"/>
      <c r="K33" s="105"/>
      <c r="L33" s="105"/>
      <c r="M33" s="2"/>
      <c r="N33" s="12">
        <f t="shared" si="2"/>
        <v>2014.5</v>
      </c>
    </row>
    <row r="34" spans="1:14" x14ac:dyDescent="0.2">
      <c r="A34" s="12" t="str">
        <f t="shared" si="1"/>
        <v>9/30/2014</v>
      </c>
      <c r="B34" s="51"/>
      <c r="C34" s="192">
        <f>[3]CPI!$H112</f>
        <v>187.59</v>
      </c>
      <c r="D34" s="118">
        <f t="shared" si="3"/>
        <v>187.92229830105589</v>
      </c>
      <c r="E34" s="118">
        <f t="shared" si="4"/>
        <v>187.80887357886672</v>
      </c>
      <c r="F34" s="118"/>
      <c r="G34" s="118"/>
      <c r="H34" s="29"/>
      <c r="I34" s="105"/>
      <c r="J34" s="29"/>
      <c r="K34" s="105"/>
      <c r="L34" s="105"/>
      <c r="M34" s="2"/>
      <c r="N34" s="12">
        <f t="shared" si="2"/>
        <v>2014.75</v>
      </c>
    </row>
    <row r="35" spans="1:14" x14ac:dyDescent="0.2">
      <c r="A35" s="12" t="str">
        <f t="shared" si="1"/>
        <v>12/31/2014</v>
      </c>
      <c r="B35" s="113"/>
      <c r="C35" s="192">
        <f>[3]CPI!$H113</f>
        <v>188.62</v>
      </c>
      <c r="D35" s="118">
        <f t="shared" si="3"/>
        <v>188.45817788941986</v>
      </c>
      <c r="E35" s="118">
        <f>GROWTH($C$14:$C$55,$N$14:$N$55,$N35,TRUE)</f>
        <v>188.34469671592609</v>
      </c>
      <c r="F35" s="118"/>
      <c r="G35" s="118"/>
      <c r="H35" s="36"/>
      <c r="I35" s="105"/>
      <c r="J35" s="36"/>
      <c r="K35" s="105"/>
      <c r="L35" s="105"/>
      <c r="M35" s="2"/>
      <c r="N35" s="12">
        <f t="shared" si="2"/>
        <v>2015</v>
      </c>
    </row>
    <row r="36" spans="1:14" x14ac:dyDescent="0.2">
      <c r="A36" s="12" t="str">
        <f t="shared" si="1"/>
        <v>3/31/2015</v>
      </c>
      <c r="B36" s="22"/>
      <c r="C36" s="192">
        <f>[3]CPI!$H114</f>
        <v>189.46</v>
      </c>
      <c r="D36" s="118">
        <f t="shared" si="3"/>
        <v>188.99405747778383</v>
      </c>
      <c r="E36" s="118">
        <f t="shared" si="4"/>
        <v>188.88204856900856</v>
      </c>
      <c r="F36" s="118">
        <f>TREND($C$36:$C$55,$N$36:$N$55,$N36,TRUE)</f>
        <v>189.11085714285764</v>
      </c>
      <c r="G36" s="118">
        <f>GROWTH($C$36:$C$55,$N$36:$N$55,$N36,TRUE)</f>
        <v>189.15651492280068</v>
      </c>
      <c r="H36"/>
      <c r="I36"/>
      <c r="J36"/>
      <c r="K36"/>
      <c r="L36"/>
      <c r="M36" s="2"/>
      <c r="N36" s="12">
        <f t="shared" si="2"/>
        <v>2015.25</v>
      </c>
    </row>
    <row r="37" spans="1:14" x14ac:dyDescent="0.2">
      <c r="A37" s="12" t="str">
        <f t="shared" si="1"/>
        <v>6/30/2015</v>
      </c>
      <c r="B37" s="22"/>
      <c r="C37" s="192">
        <f>[3]CPI!$H115</f>
        <v>189.59</v>
      </c>
      <c r="D37" s="118">
        <f t="shared" si="3"/>
        <v>189.5299370661478</v>
      </c>
      <c r="E37" s="118">
        <f t="shared" si="4"/>
        <v>189.42093349957565</v>
      </c>
      <c r="F37" s="118">
        <f t="shared" ref="F37:F54" si="5">TREND($C$36:$C$55,$N$36:$N$55,$N37,TRUE)</f>
        <v>189.63818796992473</v>
      </c>
      <c r="G37" s="118">
        <f t="shared" ref="G37:G54" si="6">GROWTH($C$36:$C$55,$N$36:$N$55,$N37,TRUE)</f>
        <v>189.67046450889626</v>
      </c>
      <c r="H37"/>
      <c r="J37"/>
      <c r="M37" s="2"/>
      <c r="N37" s="12">
        <f t="shared" si="2"/>
        <v>2015.5</v>
      </c>
    </row>
    <row r="38" spans="1:14" x14ac:dyDescent="0.2">
      <c r="A38" s="12" t="str">
        <f t="shared" si="1"/>
        <v>9/30/2015</v>
      </c>
      <c r="B38" s="22"/>
      <c r="C38" s="192">
        <f>[3]CPI!$H116</f>
        <v>190.03</v>
      </c>
      <c r="D38" s="118">
        <f t="shared" si="3"/>
        <v>190.06581665451176</v>
      </c>
      <c r="E38" s="118">
        <f t="shared" si="4"/>
        <v>189.96135588153425</v>
      </c>
      <c r="F38" s="118">
        <f t="shared" si="5"/>
        <v>190.16551879699273</v>
      </c>
      <c r="G38" s="118">
        <f t="shared" si="6"/>
        <v>190.18581052681594</v>
      </c>
      <c r="H38" s="118"/>
      <c r="I38" s="118"/>
      <c r="J38" s="105"/>
      <c r="K38" s="105"/>
      <c r="L38" s="105"/>
      <c r="M38" s="2"/>
      <c r="N38" s="12">
        <f t="shared" si="2"/>
        <v>2015.75</v>
      </c>
    </row>
    <row r="39" spans="1:14" x14ac:dyDescent="0.2">
      <c r="A39" s="12" t="str">
        <f t="shared" si="1"/>
        <v>12/31/2015</v>
      </c>
      <c r="B39" s="22"/>
      <c r="C39" s="192">
        <f>[3]CPI!$H117</f>
        <v>190.5</v>
      </c>
      <c r="D39" s="118">
        <f t="shared" si="3"/>
        <v>190.60169624287573</v>
      </c>
      <c r="E39" s="118">
        <f t="shared" si="4"/>
        <v>190.50332010126928</v>
      </c>
      <c r="F39" s="118">
        <f t="shared" si="5"/>
        <v>190.69284962405982</v>
      </c>
      <c r="G39" s="118">
        <f t="shared" si="6"/>
        <v>190.70255677074732</v>
      </c>
      <c r="H39" s="118"/>
      <c r="I39" s="118"/>
      <c r="J39" s="105"/>
      <c r="K39" s="105"/>
      <c r="L39" s="105"/>
      <c r="M39" s="2"/>
      <c r="N39" s="12">
        <f t="shared" si="2"/>
        <v>2016</v>
      </c>
    </row>
    <row r="40" spans="1:14" x14ac:dyDescent="0.2">
      <c r="A40" s="12" t="str">
        <f t="shared" si="1"/>
        <v>3/31/2016</v>
      </c>
      <c r="B40" s="22"/>
      <c r="C40" s="192">
        <f>[3]CPI!$H118</f>
        <v>190.95</v>
      </c>
      <c r="D40" s="118">
        <f t="shared" si="3"/>
        <v>191.1375758312397</v>
      </c>
      <c r="E40" s="118">
        <f t="shared" si="4"/>
        <v>191.04683055768024</v>
      </c>
      <c r="F40" s="118">
        <f t="shared" si="5"/>
        <v>191.22018045112782</v>
      </c>
      <c r="G40" s="118">
        <f t="shared" si="6"/>
        <v>191.22070704518973</v>
      </c>
      <c r="H40" s="118">
        <f>TREND($C$40:$C$55,$N$40:$N$55,$N40,TRUE)</f>
        <v>191.20904411764786</v>
      </c>
      <c r="I40" s="118">
        <f>GROWTH($C$40:$C$55,$N$40:$N$55,$N40,TRUE)</f>
        <v>191.24108995819341</v>
      </c>
      <c r="J40" s="105"/>
      <c r="K40" s="105"/>
      <c r="L40" s="105"/>
      <c r="M40" s="2"/>
      <c r="N40" s="12">
        <f t="shared" si="2"/>
        <v>2016.25</v>
      </c>
    </row>
    <row r="41" spans="1:14" x14ac:dyDescent="0.2">
      <c r="A41" s="12" t="str">
        <f t="shared" si="1"/>
        <v>6/30/2016</v>
      </c>
      <c r="B41" s="22"/>
      <c r="C41" s="192">
        <f>[3]CPI!$H119</f>
        <v>192.03</v>
      </c>
      <c r="D41" s="118">
        <f t="shared" si="3"/>
        <v>191.67345541960367</v>
      </c>
      <c r="E41" s="118">
        <f t="shared" si="4"/>
        <v>191.59189166221677</v>
      </c>
      <c r="F41" s="118">
        <f t="shared" si="5"/>
        <v>191.74751127819582</v>
      </c>
      <c r="G41" s="118">
        <f t="shared" si="6"/>
        <v>191.74026516497685</v>
      </c>
      <c r="H41" s="118">
        <f t="shared" ref="H41:H54" si="7">TREND($C$40:$C$55,$N$40:$N$55,$N41,TRUE)</f>
        <v>191.73808823529453</v>
      </c>
      <c r="I41" s="118">
        <f t="shared" ref="I41:I54" si="8">GROWTH($C$40:$C$55,$N$40:$N$55,$N41,TRUE)</f>
        <v>191.75910243080344</v>
      </c>
      <c r="J41" s="50"/>
      <c r="K41" s="58"/>
      <c r="L41" s="58"/>
      <c r="M41" s="2"/>
      <c r="N41" s="12">
        <f t="shared" si="2"/>
        <v>2016.5</v>
      </c>
    </row>
    <row r="42" spans="1:14" x14ac:dyDescent="0.2">
      <c r="A42" s="12" t="str">
        <f t="shared" si="1"/>
        <v>9/30/2016</v>
      </c>
      <c r="C42" s="192">
        <f>[3]CPI!$H120</f>
        <v>192.82</v>
      </c>
      <c r="D42" s="118">
        <f t="shared" si="3"/>
        <v>192.20933500796764</v>
      </c>
      <c r="E42" s="118">
        <f t="shared" si="4"/>
        <v>192.13850783891448</v>
      </c>
      <c r="F42" s="118">
        <f t="shared" si="5"/>
        <v>192.27484210526291</v>
      </c>
      <c r="G42" s="118">
        <f t="shared" si="6"/>
        <v>192.26123495530956</v>
      </c>
      <c r="H42" s="118">
        <f t="shared" si="7"/>
        <v>192.2671323529421</v>
      </c>
      <c r="I42" s="118">
        <f t="shared" si="8"/>
        <v>192.27851803765537</v>
      </c>
      <c r="J42" s="118"/>
      <c r="K42" s="118"/>
      <c r="L42" s="118"/>
      <c r="M42" s="2"/>
      <c r="N42" s="12">
        <f t="shared" si="2"/>
        <v>2016.75</v>
      </c>
    </row>
    <row r="43" spans="1:14" x14ac:dyDescent="0.2">
      <c r="A43" s="12" t="str">
        <f t="shared" si="1"/>
        <v>12/31/2016</v>
      </c>
      <c r="B43" s="113"/>
      <c r="C43" s="192">
        <f>[3]CPI!$H121</f>
        <v>193.56</v>
      </c>
      <c r="D43" s="118">
        <f t="shared" si="3"/>
        <v>192.74521459633161</v>
      </c>
      <c r="E43" s="118">
        <f t="shared" si="4"/>
        <v>192.68668352443078</v>
      </c>
      <c r="F43" s="118">
        <f t="shared" si="5"/>
        <v>192.8021729323309</v>
      </c>
      <c r="G43" s="118">
        <f t="shared" si="6"/>
        <v>192.78362025178194</v>
      </c>
      <c r="H43" s="118">
        <f t="shared" si="7"/>
        <v>192.79617647058876</v>
      </c>
      <c r="I43" s="118">
        <f t="shared" si="8"/>
        <v>192.79934057940233</v>
      </c>
      <c r="J43" s="118"/>
      <c r="K43" s="118"/>
      <c r="L43" s="118"/>
      <c r="M43" s="2"/>
      <c r="N43" s="12">
        <f t="shared" si="2"/>
        <v>2017</v>
      </c>
    </row>
    <row r="44" spans="1:14" x14ac:dyDescent="0.2">
      <c r="A44" s="12" t="str">
        <f t="shared" si="1"/>
        <v>3/31/2017</v>
      </c>
      <c r="C44" s="192">
        <f>[3]CPI!$H122</f>
        <v>193.86</v>
      </c>
      <c r="D44" s="118">
        <f t="shared" si="3"/>
        <v>193.28109418469558</v>
      </c>
      <c r="E44" s="118">
        <f t="shared" si="4"/>
        <v>193.2364231680811</v>
      </c>
      <c r="F44" s="118">
        <f>TREND($C$36:$C$55,$N$36:$N$55,$N44,TRUE)</f>
        <v>193.3295037593989</v>
      </c>
      <c r="G44" s="118">
        <f t="shared" si="6"/>
        <v>193.30742490040768</v>
      </c>
      <c r="H44" s="118">
        <f t="shared" si="7"/>
        <v>193.32522058823542</v>
      </c>
      <c r="I44" s="118">
        <f t="shared" si="8"/>
        <v>193.3215738669914</v>
      </c>
      <c r="J44" s="118">
        <f>TREND($C$44:$C$55,$N$44:$N$55,$N44,TRUE)</f>
        <v>192.86153846153866</v>
      </c>
      <c r="K44" s="118">
        <f>GROWTH($C$44:$C$55,$N$44:$N$55,$N44,TRUE)</f>
        <v>192.88637178769622</v>
      </c>
      <c r="L44" s="118"/>
      <c r="M44" s="2"/>
      <c r="N44" s="12">
        <f t="shared" si="2"/>
        <v>2017.25</v>
      </c>
    </row>
    <row r="45" spans="1:14" x14ac:dyDescent="0.2">
      <c r="A45" s="12" t="str">
        <f t="shared" si="1"/>
        <v>6/30/2017</v>
      </c>
      <c r="C45" s="192">
        <f>[3]CPI!$H123</f>
        <v>194.07</v>
      </c>
      <c r="D45" s="118">
        <f>TREND($C$14:$C$55,$N$14:$N$55,$N45,TRUE)</f>
        <v>193.81697377305954</v>
      </c>
      <c r="E45" s="118">
        <f t="shared" si="4"/>
        <v>193.78773123187483</v>
      </c>
      <c r="F45" s="118">
        <f t="shared" si="5"/>
        <v>193.85683458646599</v>
      </c>
      <c r="G45" s="118">
        <f t="shared" si="6"/>
        <v>193.83265275765299</v>
      </c>
      <c r="H45" s="118">
        <f t="shared" si="7"/>
        <v>193.854264705883</v>
      </c>
      <c r="I45" s="118">
        <f t="shared" si="8"/>
        <v>193.84522172169457</v>
      </c>
      <c r="J45" s="118">
        <f t="shared" ref="J45:J54" si="9">TREND($C$44:$C$55,$N$44:$N$55,$N45,TRUE)</f>
        <v>193.45444055944063</v>
      </c>
      <c r="K45" s="118">
        <f t="shared" ref="K45:K54" si="10">GROWTH($C$44:$C$55,$N$44:$N$55,$N45,TRUE)</f>
        <v>193.46864988350362</v>
      </c>
      <c r="L45" s="118"/>
      <c r="M45" s="2"/>
      <c r="N45" s="12">
        <f t="shared" si="2"/>
        <v>2017.5</v>
      </c>
    </row>
    <row r="46" spans="1:14" x14ac:dyDescent="0.2">
      <c r="A46" s="12" t="str">
        <f t="shared" si="1"/>
        <v>9/30/2017</v>
      </c>
      <c r="C46" s="192">
        <f>[3]CPI!$H124</f>
        <v>194.2</v>
      </c>
      <c r="D46" s="118">
        <f t="shared" si="3"/>
        <v>194.35285336142351</v>
      </c>
      <c r="E46" s="118">
        <f>GROWTH($C$14:$C$55,$N$14:$N$55,$N46,TRUE)</f>
        <v>194.3406121905515</v>
      </c>
      <c r="F46" s="118">
        <f t="shared" si="5"/>
        <v>194.38416541353399</v>
      </c>
      <c r="G46" s="118">
        <f t="shared" si="6"/>
        <v>194.35930769045962</v>
      </c>
      <c r="H46" s="118">
        <f t="shared" si="7"/>
        <v>194.38330882352966</v>
      </c>
      <c r="I46" s="118">
        <f t="shared" si="8"/>
        <v>194.3702879751323</v>
      </c>
      <c r="J46" s="118">
        <f t="shared" si="9"/>
        <v>194.0473426573426</v>
      </c>
      <c r="K46" s="118">
        <f t="shared" si="10"/>
        <v>194.05268573844066</v>
      </c>
      <c r="L46" s="118"/>
      <c r="M46" s="2"/>
      <c r="N46" s="12">
        <f t="shared" si="2"/>
        <v>2017.75</v>
      </c>
    </row>
    <row r="47" spans="1:14" x14ac:dyDescent="0.2">
      <c r="A47" s="12" t="str">
        <f t="shared" si="1"/>
        <v>12/31/2017</v>
      </c>
      <c r="C47" s="192">
        <f>[3]CPI!$H125</f>
        <v>194.18</v>
      </c>
      <c r="D47" s="118">
        <f t="shared" si="3"/>
        <v>194.88873294978748</v>
      </c>
      <c r="E47" s="118">
        <f t="shared" si="4"/>
        <v>194.89507053161728</v>
      </c>
      <c r="F47" s="118">
        <f t="shared" si="5"/>
        <v>194.91149624060199</v>
      </c>
      <c r="G47" s="118">
        <f t="shared" si="6"/>
        <v>194.88739357627873</v>
      </c>
      <c r="H47" s="118">
        <f t="shared" si="7"/>
        <v>194.91235294117723</v>
      </c>
      <c r="I47" s="118">
        <f t="shared" si="8"/>
        <v>194.89677646930443</v>
      </c>
      <c r="J47" s="118">
        <f t="shared" si="9"/>
        <v>194.64024475524457</v>
      </c>
      <c r="K47" s="118">
        <f t="shared" si="10"/>
        <v>194.63848465876285</v>
      </c>
      <c r="L47" s="118"/>
      <c r="M47" s="2"/>
      <c r="N47" s="12">
        <f t="shared" si="2"/>
        <v>2018</v>
      </c>
    </row>
    <row r="48" spans="1:14" x14ac:dyDescent="0.2">
      <c r="A48" s="12" t="str">
        <f t="shared" si="1"/>
        <v>3/31/2018</v>
      </c>
      <c r="B48" s="113"/>
      <c r="C48" s="192">
        <f>[3]CPI!$H126</f>
        <v>194.71</v>
      </c>
      <c r="D48" s="118">
        <f t="shared" si="3"/>
        <v>195.42461253815145</v>
      </c>
      <c r="E48" s="118">
        <f t="shared" si="4"/>
        <v>195.45111075538125</v>
      </c>
      <c r="F48" s="118">
        <f t="shared" si="5"/>
        <v>195.43882706766908</v>
      </c>
      <c r="G48" s="118">
        <f t="shared" si="6"/>
        <v>195.41691430309405</v>
      </c>
      <c r="H48" s="118">
        <f t="shared" si="7"/>
        <v>195.4413970588239</v>
      </c>
      <c r="I48" s="118">
        <f t="shared" si="8"/>
        <v>195.42469105661752</v>
      </c>
      <c r="J48" s="118">
        <f>TREND($C$44:$C$55,$N$44:$N$55,$N48,TRUE)</f>
        <v>195.23314685314654</v>
      </c>
      <c r="K48" s="118">
        <f t="shared" si="10"/>
        <v>195.22605196674607</v>
      </c>
      <c r="L48" s="118"/>
      <c r="M48" s="2"/>
      <c r="N48" s="12">
        <f t="shared" si="2"/>
        <v>2018.25</v>
      </c>
    </row>
    <row r="49" spans="1:14" x14ac:dyDescent="0.2">
      <c r="A49" s="12" t="str">
        <f t="shared" si="1"/>
        <v>6/30/2018</v>
      </c>
      <c r="C49" s="192">
        <f>[3]CPI!$H127</f>
        <v>195.24</v>
      </c>
      <c r="D49" s="118">
        <f t="shared" si="3"/>
        <v>195.96049212651542</v>
      </c>
      <c r="E49" s="118">
        <f t="shared" si="4"/>
        <v>196.00873737499194</v>
      </c>
      <c r="F49" s="118">
        <f t="shared" si="5"/>
        <v>195.96615789473708</v>
      </c>
      <c r="G49" s="118">
        <f t="shared" si="6"/>
        <v>195.94787376945519</v>
      </c>
      <c r="H49" s="118">
        <f t="shared" si="7"/>
        <v>195.97044117647147</v>
      </c>
      <c r="I49" s="118">
        <f t="shared" si="8"/>
        <v>195.95403559991252</v>
      </c>
      <c r="J49" s="118">
        <f t="shared" si="9"/>
        <v>195.82604895104851</v>
      </c>
      <c r="K49" s="118">
        <f t="shared" si="10"/>
        <v>195.81539300073288</v>
      </c>
      <c r="L49" s="118"/>
      <c r="M49" s="2"/>
      <c r="N49" s="12">
        <f t="shared" si="2"/>
        <v>2018.5</v>
      </c>
    </row>
    <row r="50" spans="1:14" x14ac:dyDescent="0.2">
      <c r="A50" s="12" t="str">
        <f t="shared" si="1"/>
        <v>9/30/2018</v>
      </c>
      <c r="C50" s="192">
        <f>[3]CPI!$H128</f>
        <v>195.63</v>
      </c>
      <c r="D50" s="118">
        <f t="shared" si="3"/>
        <v>196.49637171487939</v>
      </c>
      <c r="E50" s="118">
        <f t="shared" si="4"/>
        <v>196.56795491647409</v>
      </c>
      <c r="F50" s="118">
        <f t="shared" si="5"/>
        <v>196.49348872180417</v>
      </c>
      <c r="G50" s="118">
        <f t="shared" si="6"/>
        <v>196.48027588450447</v>
      </c>
      <c r="H50" s="118">
        <f t="shared" si="7"/>
        <v>196.49948529411813</v>
      </c>
      <c r="I50" s="118">
        <f t="shared" si="8"/>
        <v>196.4848139724956</v>
      </c>
      <c r="J50" s="118">
        <f t="shared" si="9"/>
        <v>196.41895104895139</v>
      </c>
      <c r="K50" s="118">
        <f t="shared" si="10"/>
        <v>196.40651311517902</v>
      </c>
      <c r="L50" s="118"/>
      <c r="M50" s="2"/>
      <c r="N50" s="12">
        <f t="shared" si="2"/>
        <v>2018.75</v>
      </c>
    </row>
    <row r="51" spans="1:14" x14ac:dyDescent="0.2">
      <c r="A51" s="12" t="str">
        <f t="shared" si="1"/>
        <v>12/31/2018</v>
      </c>
      <c r="C51" s="192">
        <f>[3]CPI!$H129</f>
        <v>196.26</v>
      </c>
      <c r="D51" s="118">
        <f t="shared" si="3"/>
        <v>197.03225130324336</v>
      </c>
      <c r="E51" s="118">
        <f t="shared" si="4"/>
        <v>197.1287679187659</v>
      </c>
      <c r="F51" s="118">
        <f t="shared" si="5"/>
        <v>197.02081954887217</v>
      </c>
      <c r="G51" s="118">
        <f t="shared" si="6"/>
        <v>197.01412456800341</v>
      </c>
      <c r="H51" s="118">
        <f t="shared" si="7"/>
        <v>197.0285294117657</v>
      </c>
      <c r="I51" s="118">
        <f t="shared" si="8"/>
        <v>197.0170300581625</v>
      </c>
      <c r="J51" s="118">
        <f t="shared" si="9"/>
        <v>197.01185314685335</v>
      </c>
      <c r="K51" s="118">
        <f t="shared" si="10"/>
        <v>196.99941768070681</v>
      </c>
      <c r="L51" s="118"/>
      <c r="M51" s="2"/>
      <c r="N51" s="12">
        <f t="shared" si="2"/>
        <v>2019</v>
      </c>
    </row>
    <row r="52" spans="1:14" x14ac:dyDescent="0.2">
      <c r="A52" s="12" t="str">
        <f t="shared" si="1"/>
        <v>3/31/2019</v>
      </c>
      <c r="C52" s="192">
        <f>[3]CPI!$H130</f>
        <v>197.08</v>
      </c>
      <c r="D52" s="118">
        <f t="shared" si="3"/>
        <v>197.56813089160732</v>
      </c>
      <c r="E52" s="118">
        <f t="shared" si="4"/>
        <v>197.69118093375329</v>
      </c>
      <c r="F52" s="118">
        <f t="shared" si="5"/>
        <v>197.54815037594017</v>
      </c>
      <c r="G52" s="118">
        <f t="shared" si="6"/>
        <v>197.54942375036654</v>
      </c>
      <c r="H52" s="118">
        <f t="shared" si="7"/>
        <v>197.55757352941237</v>
      </c>
      <c r="I52" s="118">
        <f t="shared" si="8"/>
        <v>197.55068775122953</v>
      </c>
      <c r="J52" s="118">
        <f t="shared" si="9"/>
        <v>197.60475524475532</v>
      </c>
      <c r="K52" s="118">
        <f>GROWTH($C$44:$C$55,$N$44:$N$55,$N52,TRUE)</f>
        <v>197.59411208414838</v>
      </c>
      <c r="L52" s="118"/>
      <c r="M52" s="2"/>
      <c r="N52" s="12">
        <f t="shared" si="2"/>
        <v>2019.25</v>
      </c>
    </row>
    <row r="53" spans="1:14" x14ac:dyDescent="0.2">
      <c r="A53" s="12" t="str">
        <f t="shared" si="1"/>
        <v>6/30/2019</v>
      </c>
      <c r="C53" s="192">
        <f>[3]CPI!$H131</f>
        <v>198.2</v>
      </c>
      <c r="D53" s="118">
        <f t="shared" si="3"/>
        <v>198.10401047997129</v>
      </c>
      <c r="E53" s="118">
        <f t="shared" si="4"/>
        <v>198.25519852631078</v>
      </c>
      <c r="F53" s="118">
        <f t="shared" si="5"/>
        <v>198.07548120300726</v>
      </c>
      <c r="G53" s="118">
        <f t="shared" si="6"/>
        <v>198.08617737268483</v>
      </c>
      <c r="H53" s="118">
        <f t="shared" si="7"/>
        <v>198.08661764705903</v>
      </c>
      <c r="I53" s="118">
        <f t="shared" si="8"/>
        <v>198.0857909565616</v>
      </c>
      <c r="J53" s="118">
        <f t="shared" si="9"/>
        <v>198.19765734265729</v>
      </c>
      <c r="K53" s="118">
        <f t="shared" si="10"/>
        <v>198.19060172860023</v>
      </c>
      <c r="L53" s="168"/>
      <c r="M53" s="2"/>
      <c r="N53" s="12">
        <f t="shared" si="2"/>
        <v>2019.5</v>
      </c>
    </row>
    <row r="54" spans="1:14" x14ac:dyDescent="0.2">
      <c r="A54" s="12" t="str">
        <f>TEXT(DATE(YEAR(A55+1),MONTH(A55+1)-3,1)-1,"m/d/yyyy")</f>
        <v>9/30/2019</v>
      </c>
      <c r="C54" s="192">
        <f>[3]CPI!$H132</f>
        <v>199.66</v>
      </c>
      <c r="D54" s="118">
        <f t="shared" si="3"/>
        <v>198.63989006833526</v>
      </c>
      <c r="E54" s="118">
        <f t="shared" si="4"/>
        <v>198.82082527433596</v>
      </c>
      <c r="F54" s="118">
        <f t="shared" si="5"/>
        <v>198.60281203007526</v>
      </c>
      <c r="G54" s="118">
        <f t="shared" si="6"/>
        <v>198.62438938676019</v>
      </c>
      <c r="H54" s="118">
        <f t="shared" si="7"/>
        <v>198.6156617647066</v>
      </c>
      <c r="I54" s="118">
        <f t="shared" si="8"/>
        <v>198.62234358959992</v>
      </c>
      <c r="J54" s="118">
        <f t="shared" si="9"/>
        <v>198.79055944055926</v>
      </c>
      <c r="K54" s="118">
        <f t="shared" si="10"/>
        <v>198.78889203346674</v>
      </c>
      <c r="L54"/>
      <c r="M54" s="2"/>
      <c r="N54" s="12">
        <f t="shared" si="2"/>
        <v>2019.75</v>
      </c>
    </row>
    <row r="55" spans="1:14" x14ac:dyDescent="0.2">
      <c r="A55" s="12" t="str">
        <f>TEXT($N$9,"m/d/yyyy")</f>
        <v>12/31/2019</v>
      </c>
      <c r="C55" s="192">
        <f>[3]CPI!$H133</f>
        <v>200.38</v>
      </c>
      <c r="D55" s="118">
        <f>TREND($C$14:$C$55,$N$14:$N$55,$N55,TRUE)</f>
        <v>199.17576965669923</v>
      </c>
      <c r="E55" s="118">
        <f t="shared" si="4"/>
        <v>199.38806576878724</v>
      </c>
      <c r="F55" s="118">
        <f>TREND($C$36:$C$55,$N$36:$N$55,$N55,TRUE)</f>
        <v>199.13014285714326</v>
      </c>
      <c r="G55" s="118">
        <f>GROWTH($C$36:$C$55,$N$36:$N$55,$N55,TRUE)</f>
        <v>199.16406375512904</v>
      </c>
      <c r="H55" s="118">
        <f>TREND($C$40:$C$55,$N$40:$N$55,$N55,TRUE)</f>
        <v>199.14470588235326</v>
      </c>
      <c r="I55" s="118">
        <f>GROWTH($C$40:$C$55,$N$40:$N$55,$N55,TRUE)</f>
        <v>199.16034957639357</v>
      </c>
      <c r="J55" s="118">
        <f>TREND($C$44:$C$55,$N$44:$N$55,$N55,TRUE)</f>
        <v>199.38346153846123</v>
      </c>
      <c r="K55" s="118">
        <f>GROWTH($C$44:$C$55,$N$44:$N$55,$N55,TRUE)</f>
        <v>199.388988434515</v>
      </c>
      <c r="L55"/>
      <c r="M55" s="2"/>
      <c r="N55" s="12">
        <f t="shared" si="2"/>
        <v>2020</v>
      </c>
    </row>
    <row r="56" spans="1:14" x14ac:dyDescent="0.2">
      <c r="A56" s="170"/>
      <c r="B56" s="9"/>
      <c r="C56" s="193"/>
      <c r="D56" s="120"/>
      <c r="E56" s="120"/>
      <c r="F56" s="120"/>
      <c r="G56" s="120"/>
      <c r="H56" s="120"/>
      <c r="I56" s="120"/>
      <c r="J56" s="120"/>
      <c r="K56" s="120"/>
      <c r="L56"/>
      <c r="M56" s="2"/>
    </row>
    <row r="57" spans="1:14" x14ac:dyDescent="0.2">
      <c r="A57" s="50"/>
      <c r="B57" s="107"/>
      <c r="C57" s="50"/>
      <c r="D57" s="50"/>
      <c r="E57" s="50"/>
      <c r="F57" s="50"/>
      <c r="G57" s="50"/>
      <c r="H57" s="50"/>
      <c r="I57" s="101"/>
      <c r="J57" s="50"/>
      <c r="K57" s="50"/>
      <c r="L57" s="50"/>
      <c r="M57" s="2"/>
    </row>
    <row r="58" spans="1:14" x14ac:dyDescent="0.2">
      <c r="A58" s="12" t="s">
        <v>260</v>
      </c>
      <c r="C58"/>
      <c r="D58" s="20">
        <f>(D55-D51)/D55</f>
        <v>1.0761943368666068E-2</v>
      </c>
      <c r="E58" s="20">
        <f>LOGEST($C$14:$C$55,$N$14:$N$55,TRUE,TRUE)-1</f>
        <v>1.1461025571633199E-2</v>
      </c>
      <c r="F58" s="20">
        <f>(F55-F51)/F55</f>
        <v>1.0592687164315065E-2</v>
      </c>
      <c r="G58" s="20">
        <f>LOGEST($C$36:$C$55,$N$36:$N$55,TRUE,TRUE)-1</f>
        <v>1.09126144728946E-2</v>
      </c>
      <c r="H58" s="20">
        <f>(H55-H51)/H55</f>
        <v>1.0626325521491462E-2</v>
      </c>
      <c r="I58" s="20">
        <f>LOGEST($C$40:$C$55,$N$40:$N$55,TRUE,TRUE)-1</f>
        <v>1.0878854064536592E-2</v>
      </c>
      <c r="J58" s="20">
        <f>(J55-J51)/J55</f>
        <v>1.1894709688097142E-2</v>
      </c>
      <c r="K58" s="20">
        <f>LOGEST($C$44:$C$55,$N$44:$N$55,TRUE,TRUE)-1</f>
        <v>1.2129836635765834E-2</v>
      </c>
      <c r="L58" s="20"/>
      <c r="M58" s="2"/>
    </row>
    <row r="59" spans="1:14" x14ac:dyDescent="0.2">
      <c r="A59" s="121" t="s">
        <v>261</v>
      </c>
      <c r="B59" s="113"/>
      <c r="C59" s="103"/>
      <c r="D59" s="104">
        <f>INDEX(LINEST($C$14:$C$55,$N$14:$N$55,TRUE,TRUE),3,1)</f>
        <v>0.98689126580239872</v>
      </c>
      <c r="E59" s="104">
        <f>INDEX(LOGEST($C$14:$C$55,$N$14:$N$55,TRUE,TRUE),3,1)</f>
        <v>0.98655531991529755</v>
      </c>
      <c r="F59" s="104">
        <f>INDEX(LINEST($C$36:$C$55,$N$36:$N$55,TRUE,TRUE),3,1)</f>
        <v>0.96153602314920883</v>
      </c>
      <c r="G59" s="104">
        <f>INDEX(LOGEST($C$36:$C$55,$N$36:$N$55,TRUE,TRUE),3,1)</f>
        <v>0.96325167557217417</v>
      </c>
      <c r="H59" s="104">
        <f>INDEX(LINEST($C$40:$C$55,$N$40:$N$55,TRUE,TRUE),3,1)</f>
        <v>0.92951113659488882</v>
      </c>
      <c r="I59" s="104">
        <f>INDEX(LOGEST($C$40:$C$55,$N$40:$N$55,TRUE,TRUE),3,1)</f>
        <v>0.93176892615452034</v>
      </c>
      <c r="J59" s="104">
        <f>INDEX(LINEST($C$44:$C$55,$N$44:$N$55,TRUE,TRUE),3,1)</f>
        <v>0.90234649470227657</v>
      </c>
      <c r="K59" s="104">
        <f>INDEX(LOGEST($C$44:$C$55,$N$44:$N$55,TRUE,TRUE),3,1)</f>
        <v>0.90454224661995319</v>
      </c>
      <c r="L59" s="104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5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 s="50"/>
      <c r="J61"/>
      <c r="K61" s="50"/>
      <c r="L61" s="50"/>
      <c r="M61" s="2"/>
    </row>
    <row r="62" spans="1:14" x14ac:dyDescent="0.2">
      <c r="A62" t="s">
        <v>17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2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2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B65" s="22"/>
      <c r="D65"/>
      <c r="E65"/>
      <c r="F65"/>
      <c r="H65"/>
      <c r="J65"/>
      <c r="K65"/>
      <c r="L65"/>
      <c r="M65" s="2"/>
    </row>
    <row r="66" spans="1:13" x14ac:dyDescent="0.2">
      <c r="A66"/>
      <c r="B66" s="22"/>
      <c r="D66"/>
      <c r="E66"/>
      <c r="F66"/>
      <c r="H66"/>
      <c r="J66"/>
      <c r="K66"/>
      <c r="L66"/>
      <c r="M66" s="2"/>
    </row>
    <row r="67" spans="1:13" x14ac:dyDescent="0.2">
      <c r="A67"/>
      <c r="B67" s="22"/>
      <c r="D67"/>
      <c r="E67"/>
      <c r="F67"/>
      <c r="H67"/>
      <c r="J67"/>
      <c r="K67"/>
      <c r="L67"/>
      <c r="M67" s="2"/>
    </row>
    <row r="68" spans="1:13" x14ac:dyDescent="0.2">
      <c r="A68"/>
      <c r="B68" s="22"/>
      <c r="D68"/>
      <c r="E68"/>
      <c r="F68"/>
      <c r="H68"/>
      <c r="J68"/>
      <c r="K68"/>
      <c r="L68"/>
      <c r="M68" s="2"/>
    </row>
    <row r="69" spans="1:13" ht="12" thickBot="1" x14ac:dyDescent="0.25">
      <c r="A69" s="121"/>
      <c r="B69" s="113"/>
      <c r="C69" s="103"/>
      <c r="D69" s="104"/>
      <c r="E69" s="104"/>
      <c r="F69" s="104"/>
      <c r="G69" s="104"/>
      <c r="H69" s="104"/>
      <c r="I69" s="104"/>
      <c r="J69" s="104"/>
      <c r="K69" s="104"/>
      <c r="L69" s="104"/>
      <c r="M69" s="2"/>
    </row>
    <row r="70" spans="1:13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rgb="FF92D050"/>
  </sheetPr>
  <dimension ref="A1:M72"/>
  <sheetViews>
    <sheetView showGridLines="0" workbookViewId="0">
      <selection activeCell="A71" sqref="A71:XFD71"/>
    </sheetView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2" x14ac:dyDescent="0.2">
      <c r="A1" s="8" t="str">
        <f>'1'!$A$1</f>
        <v>Texas Windstorm Insurance Association</v>
      </c>
      <c r="B1" s="12"/>
      <c r="J1" s="7" t="s">
        <v>75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76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K7" s="2"/>
    </row>
    <row r="8" spans="1:12" ht="12" thickTop="1" x14ac:dyDescent="0.2">
      <c r="K8" s="2"/>
    </row>
    <row r="9" spans="1:12" x14ac:dyDescent="0.2">
      <c r="C9" s="22" t="s">
        <v>40</v>
      </c>
      <c r="D9" t="s">
        <v>40</v>
      </c>
      <c r="E9" t="s">
        <v>35</v>
      </c>
      <c r="K9" s="2"/>
      <c r="L9" s="27"/>
    </row>
    <row r="10" spans="1:12" x14ac:dyDescent="0.2">
      <c r="A10" t="s">
        <v>53</v>
      </c>
      <c r="C10" t="s">
        <v>35</v>
      </c>
      <c r="D10" t="s">
        <v>35</v>
      </c>
      <c r="E10" t="s">
        <v>77</v>
      </c>
      <c r="F10" t="s">
        <v>6</v>
      </c>
      <c r="K10" s="2"/>
    </row>
    <row r="11" spans="1:12" x14ac:dyDescent="0.2">
      <c r="A11" s="9" t="s">
        <v>54</v>
      </c>
      <c r="B11" s="9"/>
      <c r="C11" s="9" t="s">
        <v>41</v>
      </c>
      <c r="D11" s="9" t="s">
        <v>36</v>
      </c>
      <c r="E11" s="9" t="s">
        <v>78</v>
      </c>
      <c r="F11" s="9" t="s">
        <v>79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2" x14ac:dyDescent="0.2">
      <c r="A13" s="237"/>
      <c r="C13" s="31"/>
      <c r="D13" s="125"/>
      <c r="K13" s="2"/>
    </row>
    <row r="14" spans="1:12" x14ac:dyDescent="0.2">
      <c r="A14" s="283">
        <v>1980</v>
      </c>
      <c r="B14" s="57"/>
      <c r="C14" s="31">
        <f>'4.2'!E14</f>
        <v>12911</v>
      </c>
      <c r="D14" s="125">
        <f>'4.4'!G13</f>
        <v>1318</v>
      </c>
      <c r="E14" s="39">
        <f>ROUND(D14/C14,3)</f>
        <v>0.10199999999999999</v>
      </c>
      <c r="F14" s="38" t="s">
        <v>80</v>
      </c>
      <c r="K14" s="2"/>
    </row>
    <row r="15" spans="1:12" x14ac:dyDescent="0.2">
      <c r="A15" s="60" t="str">
        <f t="shared" ref="A15:A52" si="0">TEXT(A14+1,"#")</f>
        <v>1981</v>
      </c>
      <c r="B15" s="57"/>
      <c r="C15" s="31">
        <f>'4.2'!E15</f>
        <v>2512</v>
      </c>
      <c r="D15" s="125">
        <f>'4.4'!G14</f>
        <v>543</v>
      </c>
      <c r="E15" s="39">
        <f t="shared" ref="E15:E43" si="1">ROUND(D15/C15,3)</f>
        <v>0.216</v>
      </c>
      <c r="F15" s="38"/>
      <c r="K15" s="2"/>
    </row>
    <row r="16" spans="1:12" x14ac:dyDescent="0.2">
      <c r="A16" s="60" t="str">
        <f t="shared" si="0"/>
        <v>1982</v>
      </c>
      <c r="B16" s="57"/>
      <c r="C16" s="31">
        <f>'4.2'!E16</f>
        <v>796</v>
      </c>
      <c r="D16" s="125">
        <f>'4.4'!G15</f>
        <v>565</v>
      </c>
      <c r="E16" s="39">
        <f t="shared" si="1"/>
        <v>0.71</v>
      </c>
      <c r="F16" s="38"/>
      <c r="K16" s="2"/>
    </row>
    <row r="17" spans="1:11" x14ac:dyDescent="0.2">
      <c r="A17" s="60" t="str">
        <f t="shared" si="0"/>
        <v>1983</v>
      </c>
      <c r="B17" s="57"/>
      <c r="C17" s="31">
        <f>'4.2'!E17</f>
        <v>148999</v>
      </c>
      <c r="D17" s="125">
        <f>'4.4'!G16</f>
        <v>9127</v>
      </c>
      <c r="E17" s="39">
        <f t="shared" si="1"/>
        <v>6.0999999999999999E-2</v>
      </c>
      <c r="F17" s="38" t="s">
        <v>80</v>
      </c>
      <c r="K17" s="2"/>
    </row>
    <row r="18" spans="1:11" x14ac:dyDescent="0.2">
      <c r="A18" s="60" t="str">
        <f t="shared" si="0"/>
        <v>1984</v>
      </c>
      <c r="B18" s="57"/>
      <c r="C18" s="31">
        <f>'4.2'!E18</f>
        <v>999</v>
      </c>
      <c r="D18" s="125">
        <f>'4.4'!G17</f>
        <v>324</v>
      </c>
      <c r="E18" s="39">
        <f t="shared" si="1"/>
        <v>0.32400000000000001</v>
      </c>
      <c r="F18" s="38"/>
      <c r="K18" s="2"/>
    </row>
    <row r="19" spans="1:11" x14ac:dyDescent="0.2">
      <c r="A19" s="60" t="str">
        <f t="shared" si="0"/>
        <v>1985</v>
      </c>
      <c r="B19" s="57"/>
      <c r="C19" s="31">
        <f>'4.2'!E19</f>
        <v>512</v>
      </c>
      <c r="D19" s="125">
        <f>'4.4'!G18</f>
        <v>297</v>
      </c>
      <c r="E19" s="39">
        <f t="shared" si="1"/>
        <v>0.57999999999999996</v>
      </c>
      <c r="F19" s="38"/>
      <c r="K19" s="2"/>
    </row>
    <row r="20" spans="1:11" x14ac:dyDescent="0.2">
      <c r="A20" s="60" t="str">
        <f t="shared" si="0"/>
        <v>1986</v>
      </c>
      <c r="B20" s="57"/>
      <c r="C20" s="31">
        <f>'4.2'!E20</f>
        <v>881</v>
      </c>
      <c r="D20" s="125">
        <f>'4.4'!G19</f>
        <v>505</v>
      </c>
      <c r="E20" s="39">
        <f t="shared" si="1"/>
        <v>0.57299999999999995</v>
      </c>
      <c r="F20" s="38" t="s">
        <v>80</v>
      </c>
      <c r="K20" s="2"/>
    </row>
    <row r="21" spans="1:11" x14ac:dyDescent="0.2">
      <c r="A21" s="60" t="str">
        <f t="shared" si="0"/>
        <v>1987</v>
      </c>
      <c r="B21" s="57"/>
      <c r="C21" s="31">
        <f>'4.2'!E21</f>
        <v>1897</v>
      </c>
      <c r="D21" s="125">
        <f>'4.4'!G20</f>
        <v>1056</v>
      </c>
      <c r="E21" s="39">
        <f t="shared" si="1"/>
        <v>0.55700000000000005</v>
      </c>
      <c r="F21" s="38"/>
      <c r="K21" s="2"/>
    </row>
    <row r="22" spans="1:11" x14ac:dyDescent="0.2">
      <c r="A22" s="60" t="str">
        <f t="shared" si="0"/>
        <v>1988</v>
      </c>
      <c r="B22" s="60"/>
      <c r="C22" s="31">
        <f>'4.2'!E22</f>
        <v>1160</v>
      </c>
      <c r="D22" s="125">
        <f>'4.4'!G21</f>
        <v>357</v>
      </c>
      <c r="E22" s="39">
        <f t="shared" si="1"/>
        <v>0.308</v>
      </c>
      <c r="F22" s="27"/>
      <c r="K22" s="2"/>
    </row>
    <row r="23" spans="1:11" x14ac:dyDescent="0.2">
      <c r="A23" s="60" t="str">
        <f t="shared" si="0"/>
        <v>1989</v>
      </c>
      <c r="B23" s="60"/>
      <c r="C23" s="31">
        <f>'4.2'!E23</f>
        <v>12296</v>
      </c>
      <c r="D23" s="125">
        <f>'4.4'!G22</f>
        <v>3528</v>
      </c>
      <c r="E23" s="39">
        <f t="shared" si="1"/>
        <v>0.28699999999999998</v>
      </c>
      <c r="F23" s="27" t="s">
        <v>80</v>
      </c>
      <c r="K23" s="2"/>
    </row>
    <row r="24" spans="1:11" x14ac:dyDescent="0.2">
      <c r="A24" s="60" t="str">
        <f t="shared" si="0"/>
        <v>1990</v>
      </c>
      <c r="B24" s="60"/>
      <c r="C24" s="31">
        <f>'4.2'!E24</f>
        <v>335</v>
      </c>
      <c r="D24" s="125">
        <f>'4.4'!G23</f>
        <v>225</v>
      </c>
      <c r="E24" s="39">
        <f t="shared" si="1"/>
        <v>0.67200000000000004</v>
      </c>
      <c r="F24" s="27"/>
      <c r="K24" s="2"/>
    </row>
    <row r="25" spans="1:11" x14ac:dyDescent="0.2">
      <c r="A25" s="60" t="str">
        <f t="shared" si="0"/>
        <v>1991</v>
      </c>
      <c r="B25" s="60"/>
      <c r="C25" s="31">
        <f>'4.2'!E25</f>
        <v>1217</v>
      </c>
      <c r="D25" s="125">
        <f>'4.4'!G24</f>
        <v>729</v>
      </c>
      <c r="E25" s="39">
        <f t="shared" si="1"/>
        <v>0.59899999999999998</v>
      </c>
      <c r="F25" s="27"/>
      <c r="K25" s="2"/>
    </row>
    <row r="26" spans="1:11" x14ac:dyDescent="0.2">
      <c r="A26" s="60" t="str">
        <f t="shared" si="0"/>
        <v>1992</v>
      </c>
      <c r="B26" s="60"/>
      <c r="C26" s="31">
        <f>'4.2'!E26</f>
        <v>489</v>
      </c>
      <c r="D26" s="125">
        <f>'4.4'!G25</f>
        <v>554</v>
      </c>
      <c r="E26" s="39">
        <f t="shared" si="1"/>
        <v>1.133</v>
      </c>
      <c r="F26" s="27"/>
      <c r="K26" s="2"/>
    </row>
    <row r="27" spans="1:11" x14ac:dyDescent="0.2">
      <c r="A27" s="60" t="str">
        <f t="shared" si="0"/>
        <v>1993</v>
      </c>
      <c r="B27" s="60"/>
      <c r="C27" s="31">
        <f>'4.2'!E27</f>
        <v>3375</v>
      </c>
      <c r="D27" s="125">
        <f>'4.4'!G26</f>
        <v>1375</v>
      </c>
      <c r="E27" s="39">
        <f t="shared" si="1"/>
        <v>0.40699999999999997</v>
      </c>
      <c r="F27" s="27"/>
      <c r="K27" s="2"/>
    </row>
    <row r="28" spans="1:11" x14ac:dyDescent="0.2">
      <c r="A28" s="60" t="str">
        <f t="shared" si="0"/>
        <v>1994</v>
      </c>
      <c r="B28" s="60"/>
      <c r="C28" s="31">
        <f>'4.2'!E28</f>
        <v>679</v>
      </c>
      <c r="D28" s="125">
        <f>'4.4'!G27</f>
        <v>507</v>
      </c>
      <c r="E28" s="39">
        <f t="shared" si="1"/>
        <v>0.747</v>
      </c>
      <c r="F28" s="27"/>
      <c r="K28" s="2"/>
    </row>
    <row r="29" spans="1:11" x14ac:dyDescent="0.2">
      <c r="A29" s="60" t="str">
        <f t="shared" si="0"/>
        <v>1995</v>
      </c>
      <c r="B29" s="60"/>
      <c r="C29" s="31">
        <f>'4.2'!E29</f>
        <v>2977</v>
      </c>
      <c r="D29" s="125">
        <f>'4.4'!G28</f>
        <v>903</v>
      </c>
      <c r="E29" s="39">
        <f t="shared" si="1"/>
        <v>0.30299999999999999</v>
      </c>
      <c r="F29" s="27"/>
      <c r="K29" s="2"/>
    </row>
    <row r="30" spans="1:11" x14ac:dyDescent="0.2">
      <c r="A30" s="60" t="str">
        <f t="shared" si="0"/>
        <v>1996</v>
      </c>
      <c r="B30" s="60"/>
      <c r="C30" s="31">
        <f>'4.2'!E30</f>
        <v>1166</v>
      </c>
      <c r="D30" s="125">
        <f>'4.4'!G29</f>
        <v>582</v>
      </c>
      <c r="E30" s="39">
        <f t="shared" si="1"/>
        <v>0.499</v>
      </c>
      <c r="F30" s="27"/>
      <c r="K30" s="2"/>
    </row>
    <row r="31" spans="1:11" x14ac:dyDescent="0.2">
      <c r="A31" s="60" t="str">
        <f t="shared" si="0"/>
        <v>1997</v>
      </c>
      <c r="B31" s="22"/>
      <c r="C31" s="31">
        <f>'4.2'!E31</f>
        <v>2964</v>
      </c>
      <c r="D31" s="125">
        <f>'4.4'!G30</f>
        <v>1343</v>
      </c>
      <c r="E31" s="39">
        <f t="shared" si="1"/>
        <v>0.45300000000000001</v>
      </c>
      <c r="F31" s="27"/>
      <c r="K31" s="2"/>
    </row>
    <row r="32" spans="1:11" x14ac:dyDescent="0.2">
      <c r="A32" s="60" t="str">
        <f t="shared" si="0"/>
        <v>1998</v>
      </c>
      <c r="B32" s="22"/>
      <c r="C32" s="31">
        <f>'4.2'!E32</f>
        <v>22401</v>
      </c>
      <c r="D32" s="125">
        <f>'4.4'!G31</f>
        <v>4732</v>
      </c>
      <c r="E32" s="39">
        <f t="shared" si="1"/>
        <v>0.21099999999999999</v>
      </c>
      <c r="F32" s="27"/>
      <c r="K32" s="2"/>
    </row>
    <row r="33" spans="1:12" x14ac:dyDescent="0.2">
      <c r="A33" s="60" t="str">
        <f t="shared" si="0"/>
        <v>1999</v>
      </c>
      <c r="B33" s="22"/>
      <c r="C33" s="31">
        <f>'4.2'!E33</f>
        <v>8773</v>
      </c>
      <c r="D33" s="125">
        <f>'4.4'!G32</f>
        <v>2388</v>
      </c>
      <c r="E33" s="39">
        <f t="shared" si="1"/>
        <v>0.27200000000000002</v>
      </c>
      <c r="F33" s="27" t="s">
        <v>80</v>
      </c>
      <c r="K33" s="2"/>
    </row>
    <row r="34" spans="1:12" x14ac:dyDescent="0.2">
      <c r="A34" s="60" t="str">
        <f t="shared" si="0"/>
        <v>2000</v>
      </c>
      <c r="B34" s="60"/>
      <c r="C34" s="31">
        <f>'4.2'!E34</f>
        <v>6227</v>
      </c>
      <c r="D34" s="125">
        <f>'4.4'!G33</f>
        <v>1885</v>
      </c>
      <c r="E34" s="39">
        <f t="shared" si="1"/>
        <v>0.30299999999999999</v>
      </c>
      <c r="F34" s="27"/>
      <c r="K34" s="2"/>
    </row>
    <row r="35" spans="1:12" x14ac:dyDescent="0.2">
      <c r="A35" s="60" t="str">
        <f t="shared" si="0"/>
        <v>2001</v>
      </c>
      <c r="B35" s="60"/>
      <c r="C35" s="31">
        <f>'4.2'!E35</f>
        <v>24605</v>
      </c>
      <c r="D35" s="125">
        <f>'4.4'!G34</f>
        <v>1880</v>
      </c>
      <c r="E35" s="39">
        <f t="shared" si="1"/>
        <v>7.5999999999999998E-2</v>
      </c>
      <c r="F35" s="27"/>
      <c r="K35" s="2"/>
    </row>
    <row r="36" spans="1:12" x14ac:dyDescent="0.2">
      <c r="A36" s="60" t="str">
        <f t="shared" si="0"/>
        <v>2002</v>
      </c>
      <c r="B36" s="60"/>
      <c r="C36" s="31">
        <f>'4.2'!E36</f>
        <v>5167</v>
      </c>
      <c r="D36" s="125">
        <f>'4.4'!G35</f>
        <v>5226</v>
      </c>
      <c r="E36" s="39">
        <f t="shared" si="1"/>
        <v>1.0109999999999999</v>
      </c>
      <c r="F36" s="27"/>
      <c r="K36" s="2"/>
    </row>
    <row r="37" spans="1:12" x14ac:dyDescent="0.2">
      <c r="A37" s="60" t="str">
        <f t="shared" si="0"/>
        <v>2003</v>
      </c>
      <c r="B37" s="60"/>
      <c r="C37" s="31">
        <f>'4.2'!E37</f>
        <v>155001</v>
      </c>
      <c r="D37" s="125">
        <f>'4.4'!G36</f>
        <v>5122</v>
      </c>
      <c r="E37" s="39">
        <f t="shared" si="1"/>
        <v>3.3000000000000002E-2</v>
      </c>
      <c r="F37" s="27" t="s">
        <v>80</v>
      </c>
      <c r="K37" s="2"/>
    </row>
    <row r="38" spans="1:12" x14ac:dyDescent="0.2">
      <c r="A38" s="60" t="str">
        <f t="shared" si="0"/>
        <v>2004</v>
      </c>
      <c r="B38" s="60"/>
      <c r="C38" s="31">
        <f>'4.2'!E38</f>
        <v>5167</v>
      </c>
      <c r="D38" s="125">
        <f>'4.4'!G37</f>
        <v>1471</v>
      </c>
      <c r="E38" s="39">
        <f t="shared" si="1"/>
        <v>0.28499999999999998</v>
      </c>
      <c r="F38" s="27"/>
      <c r="K38" s="2"/>
      <c r="L38" s="86"/>
    </row>
    <row r="39" spans="1:12" x14ac:dyDescent="0.2">
      <c r="A39" s="60" t="str">
        <f t="shared" si="0"/>
        <v>2005</v>
      </c>
      <c r="B39" s="60"/>
      <c r="C39" s="31">
        <f>'4.2'!E39</f>
        <v>154981</v>
      </c>
      <c r="D39" s="125">
        <f>'4.4'!G38</f>
        <v>20235</v>
      </c>
      <c r="E39" s="39">
        <f t="shared" si="1"/>
        <v>0.13100000000000001</v>
      </c>
      <c r="F39" s="27" t="s">
        <v>80</v>
      </c>
      <c r="K39" s="2"/>
    </row>
    <row r="40" spans="1:12" x14ac:dyDescent="0.2">
      <c r="A40" s="60" t="str">
        <f t="shared" si="0"/>
        <v>2006</v>
      </c>
      <c r="B40" s="60"/>
      <c r="C40" s="31">
        <f>'4.2'!E40</f>
        <v>4276</v>
      </c>
      <c r="D40" s="125">
        <f>'4.4'!G39</f>
        <v>1110</v>
      </c>
      <c r="E40" s="39">
        <f t="shared" si="1"/>
        <v>0.26</v>
      </c>
      <c r="F40" s="27"/>
      <c r="K40" s="2"/>
    </row>
    <row r="41" spans="1:12" x14ac:dyDescent="0.2">
      <c r="A41" s="60" t="str">
        <f t="shared" si="0"/>
        <v>2007</v>
      </c>
      <c r="B41" s="60"/>
      <c r="C41" s="31">
        <f>'4.2'!E41</f>
        <v>15745</v>
      </c>
      <c r="D41" s="125">
        <f>'4.4'!G40</f>
        <v>4941</v>
      </c>
      <c r="E41" s="39">
        <f t="shared" si="1"/>
        <v>0.314</v>
      </c>
      <c r="F41" s="27" t="s">
        <v>80</v>
      </c>
      <c r="K41" s="2"/>
    </row>
    <row r="42" spans="1:12" x14ac:dyDescent="0.2">
      <c r="A42" s="60" t="str">
        <f t="shared" si="0"/>
        <v>2008</v>
      </c>
      <c r="B42" s="22"/>
      <c r="C42" s="31">
        <f>'4.2'!E42</f>
        <v>2583017</v>
      </c>
      <c r="D42" s="125">
        <f>'4.4'!G41</f>
        <v>346615</v>
      </c>
      <c r="E42" s="39">
        <f>ROUND(D42/C42,3)</f>
        <v>0.13400000000000001</v>
      </c>
      <c r="F42" s="38" t="s">
        <v>80</v>
      </c>
      <c r="K42" s="2"/>
    </row>
    <row r="43" spans="1:12" x14ac:dyDescent="0.2">
      <c r="A43" s="60" t="str">
        <f t="shared" si="0"/>
        <v>2009</v>
      </c>
      <c r="B43" s="22"/>
      <c r="C43" s="31">
        <f>'4.2'!E43</f>
        <v>18005</v>
      </c>
      <c r="D43" s="125">
        <f>'4.4'!G42</f>
        <v>2219</v>
      </c>
      <c r="E43" s="39">
        <f t="shared" si="1"/>
        <v>0.123</v>
      </c>
      <c r="F43" s="27"/>
      <c r="K43" s="2"/>
    </row>
    <row r="44" spans="1:12" x14ac:dyDescent="0.2">
      <c r="A44" s="60" t="str">
        <f t="shared" si="0"/>
        <v>2010</v>
      </c>
      <c r="B44" s="22"/>
      <c r="C44" s="31">
        <f>'4.2'!E44</f>
        <v>96089</v>
      </c>
      <c r="D44" s="125">
        <f>'4.4'!G43</f>
        <v>4274</v>
      </c>
      <c r="E44" s="39">
        <f t="shared" ref="E44:E49" si="2">ROUND(D44/C44,3)</f>
        <v>4.3999999999999997E-2</v>
      </c>
      <c r="F44" s="38"/>
      <c r="K44" s="2"/>
    </row>
    <row r="45" spans="1:12" x14ac:dyDescent="0.2">
      <c r="A45" s="60" t="str">
        <f t="shared" si="0"/>
        <v>2011</v>
      </c>
      <c r="B45" s="22"/>
      <c r="C45" s="31">
        <f>'4.2'!E45</f>
        <v>67497</v>
      </c>
      <c r="D45" s="125">
        <f>'4.4'!G44</f>
        <v>15111</v>
      </c>
      <c r="E45" s="39">
        <f t="shared" si="2"/>
        <v>0.224</v>
      </c>
      <c r="F45" s="38"/>
      <c r="K45" s="2"/>
    </row>
    <row r="46" spans="1:12" x14ac:dyDescent="0.2">
      <c r="A46" s="45" t="str">
        <f t="shared" si="0"/>
        <v>2012</v>
      </c>
      <c r="B46" s="107"/>
      <c r="C46" s="31">
        <f>'4.2'!E46</f>
        <v>70825</v>
      </c>
      <c r="D46" s="125">
        <f>'4.4'!G45</f>
        <v>15832</v>
      </c>
      <c r="E46" s="164">
        <f t="shared" si="2"/>
        <v>0.224</v>
      </c>
      <c r="F46" s="47"/>
      <c r="G46" s="50"/>
      <c r="K46" s="2"/>
    </row>
    <row r="47" spans="1:12" x14ac:dyDescent="0.2">
      <c r="A47" s="45" t="str">
        <f t="shared" si="0"/>
        <v>2013</v>
      </c>
      <c r="B47" s="107"/>
      <c r="C47" s="31">
        <f>'4.2'!E47</f>
        <v>70825</v>
      </c>
      <c r="D47" s="125">
        <f>'4.4'!G46</f>
        <v>13827</v>
      </c>
      <c r="E47" s="164">
        <f t="shared" si="2"/>
        <v>0.19500000000000001</v>
      </c>
      <c r="F47" s="47"/>
      <c r="G47" s="50"/>
      <c r="K47" s="2"/>
    </row>
    <row r="48" spans="1:12" x14ac:dyDescent="0.2">
      <c r="A48" s="45" t="str">
        <f t="shared" si="0"/>
        <v>2014</v>
      </c>
      <c r="B48" s="107"/>
      <c r="C48" s="31">
        <f>'4.2'!E48</f>
        <v>6991</v>
      </c>
      <c r="D48" s="125">
        <f>'4.4'!G47</f>
        <v>6804</v>
      </c>
      <c r="E48" s="164">
        <f t="shared" si="2"/>
        <v>0.97299999999999998</v>
      </c>
      <c r="F48" s="47"/>
      <c r="G48" s="50"/>
      <c r="K48" s="2"/>
    </row>
    <row r="49" spans="1:13" x14ac:dyDescent="0.2">
      <c r="A49" s="45" t="str">
        <f t="shared" si="0"/>
        <v>2015</v>
      </c>
      <c r="B49" s="107"/>
      <c r="C49" s="31">
        <f>'4.2'!E49</f>
        <v>138385</v>
      </c>
      <c r="D49" s="125">
        <f>'4.4'!G48</f>
        <v>39918</v>
      </c>
      <c r="E49" s="164">
        <f t="shared" si="2"/>
        <v>0.28799999999999998</v>
      </c>
      <c r="F49" s="47"/>
      <c r="G49" s="50"/>
      <c r="K49" s="2"/>
      <c r="L49" s="52"/>
      <c r="M49" s="86"/>
    </row>
    <row r="50" spans="1:13" x14ac:dyDescent="0.2">
      <c r="A50" s="45" t="str">
        <f t="shared" si="0"/>
        <v>2016</v>
      </c>
      <c r="B50" s="107"/>
      <c r="C50" s="31">
        <f>'4.2'!E50</f>
        <v>28152</v>
      </c>
      <c r="D50" s="125">
        <f>'4.4'!G49</f>
        <v>15445</v>
      </c>
      <c r="E50" s="164">
        <f>ROUND(D50/C50,3)</f>
        <v>0.54900000000000004</v>
      </c>
      <c r="F50" s="47"/>
      <c r="G50" s="50"/>
      <c r="K50" s="2"/>
      <c r="L50" s="52"/>
      <c r="M50" s="86"/>
    </row>
    <row r="51" spans="1:13" x14ac:dyDescent="0.2">
      <c r="A51" s="45" t="str">
        <f t="shared" si="0"/>
        <v>2017</v>
      </c>
      <c r="B51" s="107"/>
      <c r="C51" s="125">
        <f>'4.2'!E51</f>
        <v>1445037.1029319642</v>
      </c>
      <c r="D51" s="125">
        <f>'4.4'!G50</f>
        <v>289745</v>
      </c>
      <c r="E51" s="164">
        <f>ROUND(D51/C51,3)</f>
        <v>0.20100000000000001</v>
      </c>
      <c r="F51" s="47" t="s">
        <v>80</v>
      </c>
      <c r="K51" s="2"/>
    </row>
    <row r="52" spans="1:13" x14ac:dyDescent="0.2">
      <c r="A52" s="45" t="str">
        <f t="shared" si="0"/>
        <v>2018</v>
      </c>
      <c r="B52" s="107"/>
      <c r="C52" s="125">
        <f>'4.2'!E52</f>
        <v>11956</v>
      </c>
      <c r="D52" s="125">
        <f>'4.4'!G51</f>
        <v>6800</v>
      </c>
      <c r="E52" s="164">
        <f>ROUND(D52/C52,3)</f>
        <v>0.56899999999999995</v>
      </c>
      <c r="F52" s="47"/>
      <c r="K52" s="2"/>
    </row>
    <row r="53" spans="1:13" x14ac:dyDescent="0.2">
      <c r="A53" s="180">
        <v>2019</v>
      </c>
      <c r="B53" s="284"/>
      <c r="C53" s="32">
        <f>'4.2'!E53</f>
        <v>18010</v>
      </c>
      <c r="D53" s="32">
        <f>'4.4'!G52</f>
        <v>8445</v>
      </c>
      <c r="E53" s="40">
        <f>ROUND(D53/C53,3)</f>
        <v>0.46899999999999997</v>
      </c>
      <c r="F53" s="68"/>
      <c r="K53" s="2"/>
    </row>
    <row r="54" spans="1:13" x14ac:dyDescent="0.2">
      <c r="K54" s="2"/>
    </row>
    <row r="55" spans="1:13" x14ac:dyDescent="0.2">
      <c r="A55" t="s">
        <v>82</v>
      </c>
      <c r="C55" s="19">
        <f>SUM(C14:C53)</f>
        <v>5153297.1029319642</v>
      </c>
      <c r="D55" s="19">
        <f>SUM(D14:D53)</f>
        <v>837863</v>
      </c>
      <c r="E55" s="39">
        <f>ROUND(D55/C55,3)</f>
        <v>0.16300000000000001</v>
      </c>
      <c r="F55" s="19"/>
      <c r="K55" s="2"/>
    </row>
    <row r="56" spans="1:13" x14ac:dyDescent="0.2">
      <c r="K56" s="2"/>
    </row>
    <row r="57" spans="1:13" x14ac:dyDescent="0.2">
      <c r="A57" t="s">
        <v>81</v>
      </c>
      <c r="C57" s="19">
        <f>SUMIF($F$14:$F$53,"H",C$14:C$53)</f>
        <v>4537641.1029319642</v>
      </c>
      <c r="D57" s="19">
        <f>SUMIF($F$14:$F$53,"H",D$14:D$53)</f>
        <v>683524</v>
      </c>
      <c r="E57" s="39">
        <f>ROUND(D57/C57,3)</f>
        <v>0.151</v>
      </c>
      <c r="K57" s="2"/>
    </row>
    <row r="58" spans="1:13" x14ac:dyDescent="0.2">
      <c r="K58" s="2"/>
    </row>
    <row r="59" spans="1:13" x14ac:dyDescent="0.2">
      <c r="A59" t="s">
        <v>83</v>
      </c>
      <c r="K59" s="2"/>
    </row>
    <row r="60" spans="1:13" x14ac:dyDescent="0.2">
      <c r="B60" t="s">
        <v>9</v>
      </c>
      <c r="C60" s="19">
        <f>C55-C57</f>
        <v>615656</v>
      </c>
      <c r="D60" s="19">
        <f>D55-D57</f>
        <v>154339</v>
      </c>
      <c r="E60" s="39">
        <f>ROUND(D60/C60,3)</f>
        <v>0.251</v>
      </c>
      <c r="K60" s="2"/>
    </row>
    <row r="61" spans="1:13" x14ac:dyDescent="0.2">
      <c r="B61" t="s">
        <v>84</v>
      </c>
      <c r="C61" s="19">
        <f>SUMIF($F$41:$F$53,"&lt;&gt;H",C$41:C$53)</f>
        <v>526735</v>
      </c>
      <c r="D61" s="19">
        <f>SUMIF($F$41:$F$53,"&lt;&gt;H",D$41:D$53)</f>
        <v>128675</v>
      </c>
      <c r="E61" s="39">
        <f>ROUND(D61/C61,3)</f>
        <v>0.24399999999999999</v>
      </c>
      <c r="K61" s="2"/>
    </row>
    <row r="62" spans="1:13" ht="12" thickBot="1" x14ac:dyDescent="0.25">
      <c r="A62" s="6"/>
      <c r="B62" s="6"/>
      <c r="C62" s="6"/>
      <c r="D62" s="6"/>
      <c r="E62" s="6"/>
      <c r="F62" s="6"/>
      <c r="K62" s="2"/>
    </row>
    <row r="63" spans="1:13" ht="12" thickTop="1" x14ac:dyDescent="0.2">
      <c r="K63" s="2"/>
    </row>
    <row r="64" spans="1:13" x14ac:dyDescent="0.2">
      <c r="A64" t="s">
        <v>17</v>
      </c>
      <c r="K64" s="2"/>
    </row>
    <row r="65" spans="1:11" x14ac:dyDescent="0.2">
      <c r="B65" s="22" t="str">
        <f>C12&amp;" "&amp;'4.2'!$K$1&amp;", "&amp;'4.2'!$K$2</f>
        <v>(2) Exhibit 4, Sheet 2</v>
      </c>
      <c r="D65" s="22"/>
      <c r="K65" s="2"/>
    </row>
    <row r="66" spans="1:11" x14ac:dyDescent="0.2">
      <c r="B66" s="22" t="str">
        <f>D12&amp;" "&amp;'4.4'!$J$1&amp;", "&amp;'4.4'!$J$2</f>
        <v>(3) Exhibit 4, Sheet 4</v>
      </c>
      <c r="K66" s="2"/>
    </row>
    <row r="67" spans="1:11" x14ac:dyDescent="0.2">
      <c r="B67" s="22" t="str">
        <f>E12&amp;" = "&amp;D12&amp;" / "&amp;C12</f>
        <v>(4) = (3) / (2)</v>
      </c>
      <c r="K67" s="2"/>
    </row>
    <row r="68" spans="1:11" x14ac:dyDescent="0.2">
      <c r="B68" s="22" t="str">
        <f>F12&amp;" ""H"" indicates hurricane year"</f>
        <v>(5) "H" indicates hurricane year</v>
      </c>
      <c r="K68" s="2"/>
    </row>
    <row r="69" spans="1:11" x14ac:dyDescent="0.2">
      <c r="K69" s="2"/>
    </row>
    <row r="70" spans="1:11" ht="12" thickBot="1" x14ac:dyDescent="0.25">
      <c r="K70" s="2"/>
    </row>
    <row r="71" spans="1:11" ht="12" hidden="1" thickBot="1" x14ac:dyDescent="0.25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>
    <tabColor rgb="FF92D050"/>
  </sheetPr>
  <dimension ref="A1:M72"/>
  <sheetViews>
    <sheetView showGridLines="0" workbookViewId="0">
      <selection activeCell="A71" sqref="A71:XFD7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75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86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45"/>
      <c r="L7" s="2"/>
    </row>
    <row r="8" spans="1:13" ht="12" thickTop="1" x14ac:dyDescent="0.2">
      <c r="F8" s="45"/>
      <c r="L8" s="2"/>
    </row>
    <row r="9" spans="1:13" x14ac:dyDescent="0.2">
      <c r="C9" s="22" t="s">
        <v>87</v>
      </c>
      <c r="E9" t="s">
        <v>13</v>
      </c>
      <c r="F9" s="45"/>
      <c r="L9" s="2"/>
      <c r="M9" s="27"/>
    </row>
    <row r="10" spans="1:13" x14ac:dyDescent="0.2">
      <c r="A10" t="s">
        <v>53</v>
      </c>
      <c r="C10" t="s">
        <v>41</v>
      </c>
      <c r="D10" t="s">
        <v>56</v>
      </c>
      <c r="E10" t="s">
        <v>35</v>
      </c>
      <c r="F10" s="45"/>
      <c r="L10" s="2"/>
      <c r="M10" t="s">
        <v>219</v>
      </c>
    </row>
    <row r="11" spans="1:13" x14ac:dyDescent="0.2">
      <c r="A11" s="9" t="s">
        <v>54</v>
      </c>
      <c r="B11" s="9"/>
      <c r="C11" s="9" t="str">
        <f>"at "&amp;TEXT($M$11,"m/d/yy")</f>
        <v>at 12/31/19</v>
      </c>
      <c r="D11" s="9" t="s">
        <v>37</v>
      </c>
      <c r="E11" s="9" t="s">
        <v>41</v>
      </c>
      <c r="F11" s="45"/>
      <c r="L11" s="2"/>
      <c r="M11" s="52">
        <f>'2.1'!$L$9</f>
        <v>43830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L12" s="2"/>
    </row>
    <row r="13" spans="1:13" x14ac:dyDescent="0.2">
      <c r="A13" s="13"/>
      <c r="B13" s="13"/>
      <c r="C13" s="11"/>
      <c r="D13" s="11"/>
      <c r="E13" s="11"/>
      <c r="F13" s="46"/>
      <c r="L13" s="2"/>
    </row>
    <row r="14" spans="1:13" x14ac:dyDescent="0.2">
      <c r="A14" s="283">
        <v>1980</v>
      </c>
      <c r="E14" s="82">
        <f>'[5]4.2'!E14</f>
        <v>12911</v>
      </c>
      <c r="F14" s="45"/>
      <c r="L14" s="2"/>
    </row>
    <row r="15" spans="1:13" x14ac:dyDescent="0.2">
      <c r="A15" s="60" t="str">
        <f t="shared" ref="A15:A52" si="0">TEXT(A14+1,"#")</f>
        <v>1981</v>
      </c>
      <c r="B15" s="25"/>
      <c r="C15" s="31"/>
      <c r="D15" s="31"/>
      <c r="E15" s="82">
        <f>'[5]4.2'!E15</f>
        <v>2512</v>
      </c>
      <c r="F15" s="47"/>
      <c r="L15" s="2"/>
    </row>
    <row r="16" spans="1:13" x14ac:dyDescent="0.2">
      <c r="A16" s="60" t="str">
        <f t="shared" si="0"/>
        <v>1982</v>
      </c>
      <c r="B16" s="25"/>
      <c r="C16" s="31"/>
      <c r="D16" s="31"/>
      <c r="E16" s="82">
        <f>'[5]4.2'!E16</f>
        <v>796</v>
      </c>
      <c r="F16" s="47"/>
      <c r="L16" s="2"/>
    </row>
    <row r="17" spans="1:12" x14ac:dyDescent="0.2">
      <c r="A17" s="60" t="str">
        <f t="shared" si="0"/>
        <v>1983</v>
      </c>
      <c r="B17" s="25"/>
      <c r="C17" s="31"/>
      <c r="D17" s="31"/>
      <c r="E17" s="82">
        <f>'[5]4.2'!E17</f>
        <v>148999</v>
      </c>
      <c r="F17" s="47"/>
      <c r="L17" s="2"/>
    </row>
    <row r="18" spans="1:12" x14ac:dyDescent="0.2">
      <c r="A18" s="60" t="str">
        <f t="shared" si="0"/>
        <v>1984</v>
      </c>
      <c r="B18" s="25"/>
      <c r="C18" s="31"/>
      <c r="D18" s="31"/>
      <c r="E18" s="82">
        <f>'[5]4.2'!E18</f>
        <v>999</v>
      </c>
      <c r="F18" s="47"/>
      <c r="L18" s="2"/>
    </row>
    <row r="19" spans="1:12" x14ac:dyDescent="0.2">
      <c r="A19" s="60" t="str">
        <f t="shared" si="0"/>
        <v>1985</v>
      </c>
      <c r="B19" s="25"/>
      <c r="C19" s="31"/>
      <c r="D19" s="31"/>
      <c r="E19" s="82">
        <f>'[5]4.2'!E19</f>
        <v>512</v>
      </c>
      <c r="F19" s="47"/>
      <c r="L19" s="2"/>
    </row>
    <row r="20" spans="1:12" x14ac:dyDescent="0.2">
      <c r="A20" s="60" t="str">
        <f t="shared" si="0"/>
        <v>1986</v>
      </c>
      <c r="B20" s="25"/>
      <c r="C20" s="31"/>
      <c r="D20" s="31"/>
      <c r="E20" s="82">
        <f>'[5]4.2'!E20</f>
        <v>881</v>
      </c>
      <c r="F20" s="47"/>
      <c r="L20" s="2"/>
    </row>
    <row r="21" spans="1:12" x14ac:dyDescent="0.2">
      <c r="A21" s="60" t="str">
        <f t="shared" si="0"/>
        <v>1987</v>
      </c>
      <c r="B21" s="25"/>
      <c r="C21" s="31"/>
      <c r="D21" s="31"/>
      <c r="E21" s="82">
        <f>'[5]4.2'!E21</f>
        <v>1897</v>
      </c>
      <c r="F21" s="47"/>
      <c r="L21" s="2"/>
    </row>
    <row r="22" spans="1:12" x14ac:dyDescent="0.2">
      <c r="A22" s="60" t="str">
        <f t="shared" si="0"/>
        <v>1988</v>
      </c>
      <c r="B22" s="25"/>
      <c r="C22" s="31"/>
      <c r="D22" s="31"/>
      <c r="E22" s="82">
        <f>'[5]4.2'!E22</f>
        <v>1160</v>
      </c>
      <c r="F22" s="47"/>
      <c r="L22" s="2"/>
    </row>
    <row r="23" spans="1:12" x14ac:dyDescent="0.2">
      <c r="A23" s="60" t="str">
        <f t="shared" si="0"/>
        <v>1989</v>
      </c>
      <c r="C23" s="31"/>
      <c r="D23" s="31"/>
      <c r="E23" s="82">
        <f>'[5]4.2'!E23</f>
        <v>12296</v>
      </c>
      <c r="F23" s="48"/>
      <c r="L23" s="2"/>
    </row>
    <row r="24" spans="1:12" x14ac:dyDescent="0.2">
      <c r="A24" s="60" t="str">
        <f t="shared" si="0"/>
        <v>1990</v>
      </c>
      <c r="C24" s="31"/>
      <c r="D24" s="31"/>
      <c r="E24" s="82">
        <f>'[5]4.2'!E24</f>
        <v>335</v>
      </c>
      <c r="F24" s="48"/>
      <c r="L24" s="2"/>
    </row>
    <row r="25" spans="1:12" x14ac:dyDescent="0.2">
      <c r="A25" s="60" t="str">
        <f t="shared" si="0"/>
        <v>1991</v>
      </c>
      <c r="C25" s="31"/>
      <c r="D25" s="31"/>
      <c r="E25" s="82">
        <f>'[5]4.2'!E25</f>
        <v>1217</v>
      </c>
      <c r="F25" s="48"/>
      <c r="L25" s="2"/>
    </row>
    <row r="26" spans="1:12" x14ac:dyDescent="0.2">
      <c r="A26" s="60" t="str">
        <f t="shared" si="0"/>
        <v>1992</v>
      </c>
      <c r="C26" s="31"/>
      <c r="D26" s="31"/>
      <c r="E26" s="82">
        <f>'[5]4.2'!E26</f>
        <v>489</v>
      </c>
      <c r="F26" s="48"/>
      <c r="L26" s="2"/>
    </row>
    <row r="27" spans="1:12" x14ac:dyDescent="0.2">
      <c r="A27" s="60" t="str">
        <f t="shared" si="0"/>
        <v>1993</v>
      </c>
      <c r="C27" s="31"/>
      <c r="D27" s="31"/>
      <c r="E27" s="82">
        <f>'[5]4.2'!E27</f>
        <v>3375</v>
      </c>
      <c r="F27" s="48"/>
      <c r="L27" s="2"/>
    </row>
    <row r="28" spans="1:12" x14ac:dyDescent="0.2">
      <c r="A28" s="60" t="str">
        <f t="shared" si="0"/>
        <v>1994</v>
      </c>
      <c r="C28" s="31"/>
      <c r="D28" s="31"/>
      <c r="E28" s="82">
        <f>'[5]4.2'!E28</f>
        <v>679</v>
      </c>
      <c r="F28" s="48"/>
      <c r="L28" s="2"/>
    </row>
    <row r="29" spans="1:12" x14ac:dyDescent="0.2">
      <c r="A29" s="60" t="str">
        <f t="shared" si="0"/>
        <v>1995</v>
      </c>
      <c r="C29" s="31"/>
      <c r="D29" s="31"/>
      <c r="E29" s="82">
        <f>'[5]4.2'!E29</f>
        <v>2977</v>
      </c>
      <c r="F29" s="48"/>
      <c r="L29" s="2"/>
    </row>
    <row r="30" spans="1:12" x14ac:dyDescent="0.2">
      <c r="A30" s="60" t="str">
        <f t="shared" si="0"/>
        <v>1996</v>
      </c>
      <c r="C30" s="31"/>
      <c r="D30" s="31"/>
      <c r="E30" s="82">
        <f>'[5]4.2'!E30</f>
        <v>1166</v>
      </c>
      <c r="F30" s="48"/>
      <c r="L30" s="2"/>
    </row>
    <row r="31" spans="1:12" x14ac:dyDescent="0.2">
      <c r="A31" s="60" t="str">
        <f t="shared" si="0"/>
        <v>1997</v>
      </c>
      <c r="C31" s="31"/>
      <c r="D31" s="31"/>
      <c r="E31" s="82">
        <f>'[5]4.2'!E31</f>
        <v>2964</v>
      </c>
      <c r="F31" s="48"/>
      <c r="L31" s="2"/>
    </row>
    <row r="32" spans="1:12" x14ac:dyDescent="0.2">
      <c r="A32" s="60" t="str">
        <f t="shared" si="0"/>
        <v>1998</v>
      </c>
      <c r="B32" s="22"/>
      <c r="C32" s="31"/>
      <c r="D32" s="31"/>
      <c r="E32" s="82">
        <f>'[5]4.2'!E32</f>
        <v>22401</v>
      </c>
      <c r="F32" s="48"/>
      <c r="L32" s="2"/>
    </row>
    <row r="33" spans="1:12" x14ac:dyDescent="0.2">
      <c r="A33" s="60" t="str">
        <f t="shared" si="0"/>
        <v>1999</v>
      </c>
      <c r="C33" s="19"/>
      <c r="E33" s="82">
        <f>'[5]4.2'!E33</f>
        <v>8773</v>
      </c>
      <c r="F33" s="48"/>
      <c r="L33" s="2"/>
    </row>
    <row r="34" spans="1:12" x14ac:dyDescent="0.2">
      <c r="A34" s="60" t="str">
        <f t="shared" si="0"/>
        <v>2000</v>
      </c>
      <c r="B34" s="22"/>
      <c r="C34" s="31"/>
      <c r="D34" s="31"/>
      <c r="E34" s="82">
        <f>'[5]4.2'!E34</f>
        <v>6227</v>
      </c>
      <c r="F34" s="48"/>
      <c r="L34" s="2"/>
    </row>
    <row r="35" spans="1:12" x14ac:dyDescent="0.2">
      <c r="A35" s="60" t="str">
        <f t="shared" si="0"/>
        <v>2001</v>
      </c>
      <c r="B35" s="22"/>
      <c r="C35" s="31"/>
      <c r="D35" s="39"/>
      <c r="E35" s="82">
        <f>'[5]4.2'!E35</f>
        <v>24605</v>
      </c>
      <c r="F35" s="48"/>
      <c r="L35" s="2"/>
    </row>
    <row r="36" spans="1:12" x14ac:dyDescent="0.2">
      <c r="A36" s="60" t="str">
        <f t="shared" si="0"/>
        <v>2002</v>
      </c>
      <c r="C36" s="31"/>
      <c r="D36" s="39"/>
      <c r="E36" s="82">
        <f>'[5]4.2'!E36</f>
        <v>5167</v>
      </c>
      <c r="F36" s="48"/>
      <c r="L36" s="2"/>
    </row>
    <row r="37" spans="1:12" x14ac:dyDescent="0.2">
      <c r="A37" s="60" t="str">
        <f t="shared" si="0"/>
        <v>2003</v>
      </c>
      <c r="C37" s="82"/>
      <c r="D37" s="124"/>
      <c r="E37" s="82">
        <f>'[5]4.2'!E37</f>
        <v>155001</v>
      </c>
      <c r="F37" s="48"/>
      <c r="L37" s="2"/>
    </row>
    <row r="38" spans="1:12" x14ac:dyDescent="0.2">
      <c r="A38" s="60" t="str">
        <f t="shared" si="0"/>
        <v>2004</v>
      </c>
      <c r="C38" s="82"/>
      <c r="D38" s="124"/>
      <c r="E38" s="82">
        <f>'[5]4.2'!E38</f>
        <v>5167</v>
      </c>
      <c r="F38" s="48"/>
      <c r="L38" s="2"/>
    </row>
    <row r="39" spans="1:12" x14ac:dyDescent="0.2">
      <c r="A39" s="60" t="str">
        <f t="shared" si="0"/>
        <v>2005</v>
      </c>
      <c r="C39" s="82"/>
      <c r="D39" s="124"/>
      <c r="E39" s="82">
        <f>'[5]4.2'!E39</f>
        <v>154981</v>
      </c>
      <c r="F39" s="47"/>
      <c r="L39" s="2"/>
    </row>
    <row r="40" spans="1:12" x14ac:dyDescent="0.2">
      <c r="A40" s="60" t="str">
        <f t="shared" si="0"/>
        <v>2006</v>
      </c>
      <c r="C40" s="82"/>
      <c r="D40" s="124"/>
      <c r="E40" s="82">
        <f>'[5]4.2'!E40</f>
        <v>4276</v>
      </c>
      <c r="F40" s="45"/>
      <c r="L40" s="2"/>
    </row>
    <row r="41" spans="1:12" x14ac:dyDescent="0.2">
      <c r="A41" s="60" t="str">
        <f t="shared" si="0"/>
        <v>2007</v>
      </c>
      <c r="C41" s="82"/>
      <c r="D41" s="124"/>
      <c r="E41" s="82">
        <f>'[5]4.2'!E41</f>
        <v>15745</v>
      </c>
      <c r="F41" s="45"/>
      <c r="L41" s="2"/>
    </row>
    <row r="42" spans="1:12" x14ac:dyDescent="0.2">
      <c r="A42" s="60" t="str">
        <f t="shared" si="0"/>
        <v>2008</v>
      </c>
      <c r="B42" s="51"/>
      <c r="C42" s="82"/>
      <c r="D42" s="124"/>
      <c r="E42" s="82">
        <f>'[5]4.2'!E42</f>
        <v>2583017</v>
      </c>
      <c r="F42" s="45"/>
      <c r="H42" s="82"/>
      <c r="L42" s="2"/>
    </row>
    <row r="43" spans="1:12" x14ac:dyDescent="0.2">
      <c r="A43" s="60" t="str">
        <f t="shared" si="0"/>
        <v>2009</v>
      </c>
      <c r="C43" s="82"/>
      <c r="D43" s="124"/>
      <c r="E43" s="82">
        <f>'[5]4.2'!E43</f>
        <v>18005</v>
      </c>
      <c r="F43" s="49"/>
      <c r="H43" s="82"/>
      <c r="L43" s="2"/>
    </row>
    <row r="44" spans="1:12" x14ac:dyDescent="0.2">
      <c r="A44" s="60" t="str">
        <f t="shared" si="0"/>
        <v>2010</v>
      </c>
      <c r="C44" s="82"/>
      <c r="D44" s="124"/>
      <c r="E44" s="82">
        <f>'[5]4.2'!E44</f>
        <v>96089</v>
      </c>
      <c r="F44" s="45"/>
      <c r="H44" s="82"/>
      <c r="L44" s="2"/>
    </row>
    <row r="45" spans="1:12" x14ac:dyDescent="0.2">
      <c r="A45" s="60" t="str">
        <f t="shared" si="0"/>
        <v>2011</v>
      </c>
      <c r="B45" s="51"/>
      <c r="C45" s="82"/>
      <c r="D45" s="124"/>
      <c r="E45" s="82">
        <f>'[5]4.2'!E45</f>
        <v>67497</v>
      </c>
      <c r="F45" s="45"/>
      <c r="H45" s="82"/>
      <c r="L45" s="2"/>
    </row>
    <row r="46" spans="1:12" x14ac:dyDescent="0.2">
      <c r="A46" s="60" t="str">
        <f t="shared" si="0"/>
        <v>2012</v>
      </c>
      <c r="C46" s="82">
        <f>'[5]4.2'!C46</f>
        <v>67497</v>
      </c>
      <c r="D46" s="124">
        <f>'[5]4.2'!D46</f>
        <v>1</v>
      </c>
      <c r="E46" s="82">
        <f>'[5]4.2'!E46</f>
        <v>70825</v>
      </c>
      <c r="F46" s="45"/>
      <c r="L46" s="2"/>
    </row>
    <row r="47" spans="1:12" x14ac:dyDescent="0.2">
      <c r="A47" s="60" t="str">
        <f t="shared" si="0"/>
        <v>2013</v>
      </c>
      <c r="C47" s="82">
        <f>'[5]4.2'!C47</f>
        <v>70825</v>
      </c>
      <c r="D47" s="124">
        <f>'[5]4.2'!D47</f>
        <v>1</v>
      </c>
      <c r="E47" s="82">
        <f>'[5]4.2'!E47</f>
        <v>70825</v>
      </c>
      <c r="L47" s="2"/>
    </row>
    <row r="48" spans="1:12" x14ac:dyDescent="0.2">
      <c r="A48" s="60" t="str">
        <f t="shared" si="0"/>
        <v>2014</v>
      </c>
      <c r="C48" s="82">
        <f>'[5]4.2'!C48</f>
        <v>7012</v>
      </c>
      <c r="D48" s="124">
        <f>'[5]4.2'!D48</f>
        <v>0.997</v>
      </c>
      <c r="E48" s="82">
        <f>'[5]4.2'!E48</f>
        <v>6991</v>
      </c>
      <c r="L48" s="2"/>
    </row>
    <row r="49" spans="1:12" x14ac:dyDescent="0.2">
      <c r="A49" s="60" t="str">
        <f t="shared" si="0"/>
        <v>2015</v>
      </c>
      <c r="C49" s="82">
        <f>'[5]4.2'!C49</f>
        <v>138801</v>
      </c>
      <c r="D49" s="124">
        <f>'[5]4.2'!D49</f>
        <v>0.997</v>
      </c>
      <c r="E49" s="82">
        <f>'[5]4.2'!E49</f>
        <v>138385</v>
      </c>
      <c r="L49" s="2"/>
    </row>
    <row r="50" spans="1:12" x14ac:dyDescent="0.2">
      <c r="A50" s="45" t="str">
        <f t="shared" si="0"/>
        <v>2016</v>
      </c>
      <c r="B50" s="50"/>
      <c r="C50" s="82">
        <f>'[5]4.2'!C50</f>
        <v>28523</v>
      </c>
      <c r="D50" s="124">
        <f>'[5]4.2'!D50</f>
        <v>0.98699999999999999</v>
      </c>
      <c r="E50" s="82">
        <f>'[5]4.2'!E50</f>
        <v>28152</v>
      </c>
      <c r="F50" s="45"/>
      <c r="L50" s="2"/>
    </row>
    <row r="51" spans="1:12" x14ac:dyDescent="0.2">
      <c r="A51" s="45" t="str">
        <f t="shared" si="0"/>
        <v>2017</v>
      </c>
      <c r="B51" s="50"/>
      <c r="C51" s="82">
        <f>'[5]4.2'!C51</f>
        <v>1445588</v>
      </c>
      <c r="D51" s="124">
        <f>'[5]4.2'!D51</f>
        <v>0.99961891142702086</v>
      </c>
      <c r="E51" s="82">
        <f>'[5]4.2'!E51</f>
        <v>1445037.1029319642</v>
      </c>
      <c r="F51" s="45"/>
      <c r="L51" s="2"/>
    </row>
    <row r="52" spans="1:12" x14ac:dyDescent="0.2">
      <c r="A52" s="45" t="str">
        <f t="shared" si="0"/>
        <v>2018</v>
      </c>
      <c r="B52" s="50"/>
      <c r="C52" s="103">
        <f>'[5]4.2'!C52</f>
        <v>12326</v>
      </c>
      <c r="D52" s="166">
        <f>'[6]4.2'!D52</f>
        <v>0.97</v>
      </c>
      <c r="E52" s="103">
        <f>'[5]4.2'!E52</f>
        <v>11956</v>
      </c>
      <c r="F52" s="45"/>
      <c r="L52" s="2"/>
    </row>
    <row r="53" spans="1:12" ht="12" thickBot="1" x14ac:dyDescent="0.25">
      <c r="A53" s="322">
        <v>2019</v>
      </c>
      <c r="B53" s="6"/>
      <c r="C53" s="224">
        <f>'[5]4.2'!C53</f>
        <v>18155</v>
      </c>
      <c r="D53" s="225">
        <f>'[5]4.2'!D53</f>
        <v>0.99199999999999999</v>
      </c>
      <c r="E53" s="224">
        <f>'[5]4.2'!E53</f>
        <v>18010</v>
      </c>
      <c r="F53" s="45"/>
      <c r="L53" s="2"/>
    </row>
    <row r="54" spans="1:12" ht="12" thickTop="1" x14ac:dyDescent="0.2">
      <c r="C54" s="19"/>
      <c r="D54" s="19"/>
      <c r="E54" s="39"/>
      <c r="F54" s="45"/>
      <c r="L54" s="2"/>
    </row>
    <row r="55" spans="1:12" x14ac:dyDescent="0.2">
      <c r="A55" t="s">
        <v>17</v>
      </c>
      <c r="L55" s="2"/>
    </row>
    <row r="56" spans="1:12" x14ac:dyDescent="0.2">
      <c r="B56" s="22" t="str">
        <f>C12&amp;" "&amp;'4.3AS loss Dev'!$K$1&amp;", "&amp;'4.3AS loss Dev'!$K$2</f>
        <v>(2) Exhibit 4, Sheet 3</v>
      </c>
      <c r="D56" s="22"/>
      <c r="L56" s="2"/>
    </row>
    <row r="57" spans="1:12" x14ac:dyDescent="0.2">
      <c r="B57" s="22" t="str">
        <f>D12&amp;" "&amp;'4.3AS loss Dev'!$K$1&amp;", "&amp;'4.3AS loss Dev'!$K$2</f>
        <v>(3) Exhibit 4, Sheet 3</v>
      </c>
      <c r="L57" s="2"/>
    </row>
    <row r="58" spans="1:12" x14ac:dyDescent="0.2">
      <c r="B58" s="22" t="str">
        <f>E12&amp;" "&amp;A46&amp;" - "&amp;A53&amp;": "&amp;C12&amp;" * "&amp;D12&amp;"; "&amp;A14&amp;" - "&amp;A45&amp;": from prior TWIA annual statements"</f>
        <v>(4) 2012 - 2019: (2) * (3); 1980 - 2011: from prior TWIA annual statements</v>
      </c>
      <c r="C58" s="22"/>
      <c r="L58" s="2"/>
    </row>
    <row r="59" spans="1:12" x14ac:dyDescent="0.2">
      <c r="B59" s="22"/>
      <c r="L59" s="2"/>
    </row>
    <row r="60" spans="1:12" x14ac:dyDescent="0.2">
      <c r="C60" s="19"/>
      <c r="D60" s="19"/>
      <c r="E60" s="39"/>
      <c r="F60" s="45"/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hidden="1" thickBot="1" x14ac:dyDescent="0.25">
      <c r="L71" s="2"/>
    </row>
    <row r="72" spans="1:12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>
    <tabColor rgb="FF92D050"/>
  </sheetPr>
  <dimension ref="A1:M69"/>
  <sheetViews>
    <sheetView showGridLines="0" workbookViewId="0">
      <selection activeCell="J32" sqref="J3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J1" s="50"/>
      <c r="K1" s="7" t="s">
        <v>75</v>
      </c>
      <c r="L1" s="1"/>
    </row>
    <row r="2" spans="1:13" x14ac:dyDescent="0.2">
      <c r="A2" s="8" t="str">
        <f>'1'!$A$2</f>
        <v>Residential Property - Wind &amp; Hail</v>
      </c>
      <c r="B2" s="12"/>
      <c r="J2" s="50"/>
      <c r="K2" s="7" t="s">
        <v>88</v>
      </c>
      <c r="L2" s="2"/>
    </row>
    <row r="3" spans="1:13" x14ac:dyDescent="0.2">
      <c r="A3" s="8" t="str">
        <f>'1'!$A$3</f>
        <v>Rate Level Review</v>
      </c>
      <c r="B3" s="12"/>
      <c r="J3" s="50"/>
      <c r="L3" s="2"/>
    </row>
    <row r="4" spans="1:13" x14ac:dyDescent="0.2">
      <c r="A4" t="s">
        <v>89</v>
      </c>
      <c r="B4" s="12"/>
      <c r="J4" s="50"/>
      <c r="L4" s="2"/>
    </row>
    <row r="5" spans="1:13" x14ac:dyDescent="0.2">
      <c r="A5" t="s">
        <v>90</v>
      </c>
      <c r="B5" s="12"/>
      <c r="J5" s="50"/>
      <c r="L5" s="2"/>
    </row>
    <row r="6" spans="1:13" x14ac:dyDescent="0.2">
      <c r="J6" s="50"/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3" ht="12" thickTop="1" x14ac:dyDescent="0.2">
      <c r="J8" s="50"/>
      <c r="L8" s="2"/>
    </row>
    <row r="9" spans="1:13" x14ac:dyDescent="0.2">
      <c r="C9" s="24" t="s">
        <v>68</v>
      </c>
      <c r="J9" s="50"/>
      <c r="L9" s="2"/>
      <c r="M9" s="27"/>
    </row>
    <row r="10" spans="1:13" x14ac:dyDescent="0.2">
      <c r="A10" t="s">
        <v>53</v>
      </c>
      <c r="J10" s="50"/>
      <c r="L10" s="2"/>
      <c r="M10" t="s">
        <v>69</v>
      </c>
    </row>
    <row r="11" spans="1:13" x14ac:dyDescent="0.2">
      <c r="A11" s="9" t="s">
        <v>54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2">
        <f>'[7]4.3'!M11</f>
        <v>12</v>
      </c>
    </row>
    <row r="12" spans="1:13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7"/>
      <c r="L12" s="2"/>
    </row>
    <row r="13" spans="1:13" x14ac:dyDescent="0.2">
      <c r="J13" s="50"/>
      <c r="L13" s="2"/>
    </row>
    <row r="14" spans="1:13" x14ac:dyDescent="0.2">
      <c r="A14" t="str">
        <f t="shared" ref="A14:A22" si="2">TEXT(A15-1,"#")</f>
        <v>2010</v>
      </c>
      <c r="B14" s="25"/>
      <c r="C14" s="82">
        <f>'[5]4.3'!C14</f>
        <v>15215</v>
      </c>
      <c r="D14" s="82">
        <f>'[5]4.3'!D14</f>
        <v>18166</v>
      </c>
      <c r="E14" s="82">
        <f>'[5]4.3'!E14</f>
        <v>18173</v>
      </c>
      <c r="F14" s="82">
        <f>'[5]4.3'!F14</f>
        <v>18522</v>
      </c>
      <c r="G14" s="82">
        <f>'[5]4.3'!G14</f>
        <v>18361</v>
      </c>
      <c r="H14" s="82">
        <f>'[5]4.3'!H14</f>
        <v>18267</v>
      </c>
      <c r="I14" s="82">
        <f>'[5]4.3'!I14</f>
        <v>18005</v>
      </c>
      <c r="J14" s="103"/>
      <c r="L14" s="2"/>
    </row>
    <row r="15" spans="1:13" x14ac:dyDescent="0.2">
      <c r="A15" t="str">
        <f t="shared" si="2"/>
        <v>2011</v>
      </c>
      <c r="B15" s="25"/>
      <c r="C15" s="82">
        <f>'[5]4.3'!C15</f>
        <v>94870</v>
      </c>
      <c r="D15" s="82">
        <f>'[5]4.3'!D15</f>
        <v>96967</v>
      </c>
      <c r="E15" s="82">
        <f>'[5]4.3'!E15</f>
        <v>97503</v>
      </c>
      <c r="F15" s="82">
        <f>'[5]4.3'!F15</f>
        <v>96828</v>
      </c>
      <c r="G15" s="82">
        <f>'[5]4.3'!G15</f>
        <v>96263</v>
      </c>
      <c r="H15" s="82">
        <f>'[5]4.3'!H15</f>
        <v>95964</v>
      </c>
      <c r="I15" s="82">
        <f>'[5]4.3'!I15</f>
        <v>96089</v>
      </c>
      <c r="J15" s="103"/>
      <c r="L15" s="2"/>
    </row>
    <row r="16" spans="1:13" x14ac:dyDescent="0.2">
      <c r="A16" t="str">
        <f t="shared" si="2"/>
        <v>2012</v>
      </c>
      <c r="B16" s="25"/>
      <c r="C16" s="82">
        <f>'[5]4.3'!C16</f>
        <v>62722</v>
      </c>
      <c r="D16" s="82">
        <f>'[5]4.3'!D16</f>
        <v>69764</v>
      </c>
      <c r="E16" s="82">
        <f>'[5]4.3'!E16</f>
        <v>67287</v>
      </c>
      <c r="F16" s="82">
        <f>'[5]4.3'!F16</f>
        <v>66724</v>
      </c>
      <c r="G16" s="82">
        <f>'[5]4.3'!G16</f>
        <v>66328</v>
      </c>
      <c r="H16" s="82">
        <f>'[5]4.3'!H16</f>
        <v>67658</v>
      </c>
      <c r="I16" s="82">
        <f>'[5]4.3'!I16</f>
        <v>67497</v>
      </c>
      <c r="J16" s="103"/>
      <c r="L16" s="2"/>
    </row>
    <row r="17" spans="1:13" x14ac:dyDescent="0.2">
      <c r="A17" t="str">
        <f t="shared" si="2"/>
        <v>2013</v>
      </c>
      <c r="B17" s="25"/>
      <c r="C17" s="82">
        <f>'[5]4.3'!C17</f>
        <v>77204</v>
      </c>
      <c r="D17" s="82">
        <f>'[5]4.3'!D17</f>
        <v>75204</v>
      </c>
      <c r="E17" s="82">
        <f>'[5]4.3'!E17</f>
        <v>72860</v>
      </c>
      <c r="F17" s="82">
        <f>'[5]4.3'!F17</f>
        <v>71823</v>
      </c>
      <c r="G17" s="82">
        <f>'[5]4.3'!G17</f>
        <v>71286</v>
      </c>
      <c r="H17" s="82">
        <f>'[5]4.3'!H17</f>
        <v>71068</v>
      </c>
      <c r="I17" s="82">
        <f>'[5]4.3'!I17</f>
        <v>70825</v>
      </c>
      <c r="J17" s="103"/>
      <c r="L17" s="2"/>
    </row>
    <row r="18" spans="1:13" x14ac:dyDescent="0.2">
      <c r="A18" t="str">
        <f t="shared" si="2"/>
        <v>2014</v>
      </c>
      <c r="B18" s="25"/>
      <c r="C18" s="82">
        <f>'[5]4.3'!C18</f>
        <v>6739</v>
      </c>
      <c r="D18" s="82">
        <f>'[5]4.3'!D18</f>
        <v>7854</v>
      </c>
      <c r="E18" s="82">
        <f>'[5]4.3'!E18</f>
        <v>7298</v>
      </c>
      <c r="F18" s="82">
        <f>'[5]4.3'!F18</f>
        <v>7261</v>
      </c>
      <c r="G18" s="82">
        <f>'[5]4.3'!G18</f>
        <v>7068</v>
      </c>
      <c r="H18" s="82">
        <f>'[5]4.3'!H18</f>
        <v>7012</v>
      </c>
      <c r="I18" s="82"/>
      <c r="J18" s="103"/>
      <c r="L18" s="2"/>
    </row>
    <row r="19" spans="1:13" x14ac:dyDescent="0.2">
      <c r="A19" t="str">
        <f t="shared" si="2"/>
        <v>2015</v>
      </c>
      <c r="B19" s="25"/>
      <c r="C19" s="82">
        <f>'[5]4.3'!C19</f>
        <v>147927</v>
      </c>
      <c r="D19" s="82">
        <f>'[5]4.3'!D19</f>
        <v>139955</v>
      </c>
      <c r="E19" s="82">
        <f>'[5]4.3'!E19</f>
        <v>140459</v>
      </c>
      <c r="F19" s="82">
        <f>'[5]4.3'!F19</f>
        <v>139777</v>
      </c>
      <c r="G19" s="82">
        <f>'[5]4.3'!G19</f>
        <v>138801</v>
      </c>
      <c r="H19" s="82"/>
      <c r="I19" s="82"/>
      <c r="J19" s="103"/>
      <c r="L19" s="2"/>
    </row>
    <row r="20" spans="1:13" x14ac:dyDescent="0.2">
      <c r="A20" t="str">
        <f t="shared" si="2"/>
        <v>2016</v>
      </c>
      <c r="B20" s="25"/>
      <c r="C20" s="82">
        <f>'[5]4.3'!C20</f>
        <v>31292</v>
      </c>
      <c r="D20" s="82">
        <f>'[5]4.3'!D20</f>
        <v>29612</v>
      </c>
      <c r="E20" s="82">
        <f>'[5]4.3'!E20</f>
        <v>28908</v>
      </c>
      <c r="F20" s="82">
        <f>'[5]4.3'!F20</f>
        <v>28523</v>
      </c>
      <c r="G20" s="82"/>
      <c r="H20" s="82"/>
      <c r="I20" s="82"/>
      <c r="J20" s="103"/>
      <c r="L20" s="2"/>
    </row>
    <row r="21" spans="1:13" x14ac:dyDescent="0.2">
      <c r="A21" t="str">
        <f t="shared" si="2"/>
        <v>2017</v>
      </c>
      <c r="B21" s="25"/>
      <c r="C21" s="82">
        <f>'[5]4.3'!C21</f>
        <v>1278467</v>
      </c>
      <c r="D21" s="82">
        <f>'[5]4.3'!D21</f>
        <v>1373877</v>
      </c>
      <c r="E21" s="82">
        <f>'[5]4.3'!E21</f>
        <v>1445588</v>
      </c>
      <c r="F21" s="82"/>
      <c r="G21" s="82"/>
      <c r="H21" s="82"/>
      <c r="I21" s="82"/>
      <c r="J21" s="103"/>
      <c r="L21" s="2"/>
    </row>
    <row r="22" spans="1:13" x14ac:dyDescent="0.2">
      <c r="A22" t="str">
        <f t="shared" si="2"/>
        <v>2018</v>
      </c>
      <c r="B22" s="25"/>
      <c r="C22" s="82">
        <f>'[5]4.3'!C22</f>
        <v>13197</v>
      </c>
      <c r="D22" s="82">
        <f>'[5]4.3'!D22</f>
        <v>12326</v>
      </c>
      <c r="E22" s="82"/>
      <c r="F22" s="82"/>
      <c r="G22" s="82"/>
      <c r="H22" s="82"/>
      <c r="I22" s="82"/>
      <c r="J22" s="103"/>
      <c r="L22" s="2"/>
      <c r="M22" t="s">
        <v>219</v>
      </c>
    </row>
    <row r="23" spans="1:13" x14ac:dyDescent="0.2">
      <c r="A23" t="str">
        <f>TEXT(YEAR($M$23),"#")</f>
        <v>2019</v>
      </c>
      <c r="B23" s="25"/>
      <c r="C23" s="82">
        <f>'[5]4.3'!C23</f>
        <v>18155</v>
      </c>
      <c r="D23" s="82"/>
      <c r="E23" s="82"/>
      <c r="F23" s="82"/>
      <c r="G23" s="82"/>
      <c r="H23" s="82"/>
      <c r="I23" s="82"/>
      <c r="J23" s="103"/>
      <c r="L23" s="2"/>
      <c r="M23" s="85">
        <f>'[5]4.3'!$M$23</f>
        <v>43830</v>
      </c>
    </row>
    <row r="24" spans="1:13" x14ac:dyDescent="0.2">
      <c r="A24" s="9"/>
      <c r="B24" s="26"/>
      <c r="C24" s="83"/>
      <c r="D24" s="83"/>
      <c r="E24" s="83"/>
      <c r="F24" s="83"/>
      <c r="G24" s="83"/>
      <c r="H24" s="83"/>
      <c r="I24" s="83"/>
      <c r="J24" s="103"/>
      <c r="L24" s="2"/>
    </row>
    <row r="25" spans="1:13" x14ac:dyDescent="0.2">
      <c r="J25" s="50"/>
      <c r="L25" s="2"/>
    </row>
    <row r="26" spans="1:13" x14ac:dyDescent="0.2">
      <c r="C26" s="24" t="s">
        <v>70</v>
      </c>
      <c r="J26" s="50"/>
      <c r="L26" s="2"/>
    </row>
    <row r="27" spans="1:13" x14ac:dyDescent="0.2">
      <c r="A27" t="s">
        <v>53</v>
      </c>
      <c r="J27" s="50"/>
      <c r="L27" s="2"/>
    </row>
    <row r="28" spans="1:13" x14ac:dyDescent="0.2">
      <c r="A28" s="9" t="s">
        <v>54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J28" s="50"/>
      <c r="L28" s="2"/>
    </row>
    <row r="29" spans="1:13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7"/>
      <c r="L29" s="2"/>
    </row>
    <row r="30" spans="1:13" x14ac:dyDescent="0.2">
      <c r="J30" s="50"/>
      <c r="L30" s="2"/>
    </row>
    <row r="31" spans="1:13" x14ac:dyDescent="0.2">
      <c r="A31" t="str">
        <f t="shared" ref="A31:A39" si="5">A14</f>
        <v>2010</v>
      </c>
      <c r="B31" s="25"/>
      <c r="C31" s="39">
        <f t="shared" ref="C31:H39" si="6">IF(ISNUMBER(D14),D14/C14,"")</f>
        <v>1.1939533355241538</v>
      </c>
      <c r="D31" s="39">
        <f t="shared" si="6"/>
        <v>1.0003853352416603</v>
      </c>
      <c r="E31" s="39">
        <f t="shared" si="6"/>
        <v>1.0192043140923348</v>
      </c>
      <c r="F31" s="39">
        <f t="shared" si="6"/>
        <v>0.99130763416477707</v>
      </c>
      <c r="G31" s="39">
        <f t="shared" si="6"/>
        <v>0.99488045313436091</v>
      </c>
      <c r="H31" s="39">
        <f t="shared" si="6"/>
        <v>0.98565719603656865</v>
      </c>
      <c r="I31" s="39" t="str">
        <f>IF(ISNUMBER(#REF!),#REF!/I14,"")</f>
        <v/>
      </c>
      <c r="J31" s="164"/>
      <c r="L31" s="2"/>
    </row>
    <row r="32" spans="1:13" x14ac:dyDescent="0.2">
      <c r="A32" t="str">
        <f t="shared" si="5"/>
        <v>2011</v>
      </c>
      <c r="B32" s="25"/>
      <c r="C32" s="39">
        <f t="shared" si="6"/>
        <v>1.022103931696005</v>
      </c>
      <c r="D32" s="39">
        <f t="shared" si="6"/>
        <v>1.0055276537378697</v>
      </c>
      <c r="E32" s="39">
        <f t="shared" si="6"/>
        <v>0.99307713608812032</v>
      </c>
      <c r="F32" s="39">
        <f t="shared" si="6"/>
        <v>0.99416491097616388</v>
      </c>
      <c r="G32" s="39">
        <f t="shared" si="6"/>
        <v>0.99689392601518756</v>
      </c>
      <c r="H32" s="39">
        <f t="shared" si="6"/>
        <v>1.0013025717977575</v>
      </c>
      <c r="I32" s="39" t="str">
        <f>IF(ISNUMBER(#REF!),#REF!/I15,"")</f>
        <v/>
      </c>
      <c r="J32" s="164"/>
      <c r="L32" s="2"/>
    </row>
    <row r="33" spans="1:12" x14ac:dyDescent="0.2">
      <c r="A33" t="str">
        <f t="shared" si="5"/>
        <v>2012</v>
      </c>
      <c r="B33" s="25"/>
      <c r="C33" s="39">
        <f t="shared" si="6"/>
        <v>1.1122732055738018</v>
      </c>
      <c r="D33" s="39">
        <f t="shared" si="6"/>
        <v>0.96449458173269886</v>
      </c>
      <c r="E33" s="39">
        <f t="shared" si="6"/>
        <v>0.9916328562723854</v>
      </c>
      <c r="F33" s="39">
        <f t="shared" si="6"/>
        <v>0.99406510401055093</v>
      </c>
      <c r="G33" s="39">
        <f t="shared" si="6"/>
        <v>1.0200518634664093</v>
      </c>
      <c r="H33" s="39">
        <f t="shared" si="6"/>
        <v>0.99762038487688076</v>
      </c>
      <c r="I33" s="39" t="str">
        <f>IF(ISNUMBER(#REF!),#REF!/I16,"")</f>
        <v/>
      </c>
      <c r="J33" s="164"/>
      <c r="L33" s="2"/>
    </row>
    <row r="34" spans="1:12" x14ac:dyDescent="0.2">
      <c r="A34" t="str">
        <f t="shared" si="5"/>
        <v>2013</v>
      </c>
      <c r="B34" s="25"/>
      <c r="C34" s="39">
        <f t="shared" si="6"/>
        <v>0.97409460649707269</v>
      </c>
      <c r="D34" s="39">
        <f t="shared" si="6"/>
        <v>0.96883144513589703</v>
      </c>
      <c r="E34" s="39">
        <f t="shared" si="6"/>
        <v>0.98576722481471313</v>
      </c>
      <c r="F34" s="39">
        <f t="shared" si="6"/>
        <v>0.99252328641243059</v>
      </c>
      <c r="G34" s="39">
        <f t="shared" si="6"/>
        <v>0.99694189602446481</v>
      </c>
      <c r="H34" s="39">
        <f t="shared" si="6"/>
        <v>0.99658073957336635</v>
      </c>
      <c r="I34" s="39" t="str">
        <f>IF(ISNUMBER(#REF!),#REF!/I17,"")</f>
        <v/>
      </c>
      <c r="J34" s="164"/>
      <c r="L34" s="2"/>
    </row>
    <row r="35" spans="1:12" x14ac:dyDescent="0.2">
      <c r="A35" t="str">
        <f t="shared" si="5"/>
        <v>2014</v>
      </c>
      <c r="B35" s="25"/>
      <c r="C35" s="39">
        <f t="shared" si="6"/>
        <v>1.1654548152544888</v>
      </c>
      <c r="D35" s="39">
        <f t="shared" si="6"/>
        <v>0.92920804685510572</v>
      </c>
      <c r="E35" s="39">
        <f t="shared" si="6"/>
        <v>0.99493011784050422</v>
      </c>
      <c r="F35" s="39">
        <f t="shared" si="6"/>
        <v>0.97341963916815866</v>
      </c>
      <c r="G35" s="39">
        <f t="shared" si="6"/>
        <v>0.99207696661007361</v>
      </c>
      <c r="H35" s="39" t="str">
        <f t="shared" si="6"/>
        <v/>
      </c>
      <c r="I35" s="39" t="str">
        <f>IF(ISNUMBER(#REF!),#REF!/I18,"")</f>
        <v/>
      </c>
      <c r="J35" s="164"/>
      <c r="L35" s="2"/>
    </row>
    <row r="36" spans="1:12" x14ac:dyDescent="0.2">
      <c r="A36" t="str">
        <f t="shared" si="5"/>
        <v>2015</v>
      </c>
      <c r="B36" s="25"/>
      <c r="C36" s="39">
        <f t="shared" si="6"/>
        <v>0.94610855354330181</v>
      </c>
      <c r="D36" s="39">
        <f t="shared" si="6"/>
        <v>1.0036011575149155</v>
      </c>
      <c r="E36" s="39">
        <f t="shared" si="6"/>
        <v>0.99514449056308252</v>
      </c>
      <c r="F36" s="39">
        <f t="shared" si="6"/>
        <v>0.99301744922269042</v>
      </c>
      <c r="G36" s="39" t="str">
        <f t="shared" si="6"/>
        <v/>
      </c>
      <c r="H36" s="39" t="str">
        <f t="shared" si="6"/>
        <v/>
      </c>
      <c r="I36" s="39" t="str">
        <f>IF(ISNUMBER(#REF!),#REF!/I19,"")</f>
        <v/>
      </c>
      <c r="J36" s="164"/>
      <c r="L36" s="2"/>
    </row>
    <row r="37" spans="1:12" x14ac:dyDescent="0.2">
      <c r="A37" t="str">
        <f t="shared" si="5"/>
        <v>2016</v>
      </c>
      <c r="B37" s="25"/>
      <c r="C37" s="39">
        <f t="shared" si="6"/>
        <v>0.9463121564617154</v>
      </c>
      <c r="D37" s="39">
        <f t="shared" si="6"/>
        <v>0.97622585438335807</v>
      </c>
      <c r="E37" s="39">
        <f t="shared" si="6"/>
        <v>0.98668188736681883</v>
      </c>
      <c r="F37" s="39" t="str">
        <f t="shared" si="6"/>
        <v/>
      </c>
      <c r="G37" s="39" t="str">
        <f t="shared" si="6"/>
        <v/>
      </c>
      <c r="H37" s="39" t="str">
        <f t="shared" si="6"/>
        <v/>
      </c>
      <c r="I37" s="39" t="str">
        <f>IF(ISNUMBER(#REF!),#REF!/I20,"")</f>
        <v/>
      </c>
      <c r="J37" s="164"/>
      <c r="L37" s="2"/>
    </row>
    <row r="38" spans="1:12" x14ac:dyDescent="0.2">
      <c r="A38" t="str">
        <f t="shared" si="5"/>
        <v>2017</v>
      </c>
      <c r="B38" s="25"/>
      <c r="C38" s="39">
        <f t="shared" si="6"/>
        <v>1.0746284417196532</v>
      </c>
      <c r="D38" s="39">
        <f t="shared" si="6"/>
        <v>1.0521960845112044</v>
      </c>
      <c r="E38" s="39" t="str">
        <f t="shared" si="6"/>
        <v/>
      </c>
      <c r="F38" s="39" t="str">
        <f t="shared" si="6"/>
        <v/>
      </c>
      <c r="G38" s="39" t="str">
        <f t="shared" si="6"/>
        <v/>
      </c>
      <c r="H38" s="39" t="str">
        <f t="shared" si="6"/>
        <v/>
      </c>
      <c r="I38" s="39" t="str">
        <f>IF(ISNUMBER(#REF!),#REF!/I21,"")</f>
        <v/>
      </c>
      <c r="J38" s="164"/>
      <c r="L38" s="2"/>
    </row>
    <row r="39" spans="1:12" x14ac:dyDescent="0.2">
      <c r="A39" t="str">
        <f t="shared" si="5"/>
        <v>2018</v>
      </c>
      <c r="B39" s="25"/>
      <c r="C39" s="39">
        <f>IF(ISNUMBER(D22),D22/C22,"")</f>
        <v>0.93400015154959459</v>
      </c>
      <c r="D39" s="39" t="str">
        <f t="shared" si="6"/>
        <v/>
      </c>
      <c r="E39" s="39" t="str">
        <f t="shared" si="6"/>
        <v/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IF(ISNUMBER(#REF!),#REF!/I22,"")</f>
        <v/>
      </c>
      <c r="J39" s="164"/>
      <c r="L39" s="2"/>
    </row>
    <row r="40" spans="1:12" x14ac:dyDescent="0.2">
      <c r="A40" s="9"/>
      <c r="B40" s="26"/>
      <c r="C40" s="40"/>
      <c r="D40" s="40"/>
      <c r="E40" s="40"/>
      <c r="F40" s="40"/>
      <c r="G40" s="40"/>
      <c r="H40" s="40"/>
      <c r="I40" s="40"/>
      <c r="J40" s="50"/>
      <c r="L40" s="2"/>
    </row>
    <row r="41" spans="1:12" x14ac:dyDescent="0.2">
      <c r="C41" s="19"/>
      <c r="J41" s="50"/>
      <c r="L41" s="2"/>
    </row>
    <row r="42" spans="1:12" x14ac:dyDescent="0.2">
      <c r="A42" t="s">
        <v>71</v>
      </c>
      <c r="B42" s="25"/>
      <c r="C42" s="41">
        <f t="shared" ref="C42:H42" si="7">AVERAGE(C31:C39)</f>
        <v>1.0409921330910874</v>
      </c>
      <c r="D42" s="41">
        <f t="shared" si="7"/>
        <v>0.98755876988908864</v>
      </c>
      <c r="E42" s="41">
        <f t="shared" si="7"/>
        <v>0.99520543243399417</v>
      </c>
      <c r="F42" s="41">
        <f t="shared" si="7"/>
        <v>0.98974967065912844</v>
      </c>
      <c r="G42" s="41">
        <f t="shared" si="7"/>
        <v>1.0001690210500993</v>
      </c>
      <c r="H42" s="41">
        <f t="shared" si="7"/>
        <v>0.99529022307114323</v>
      </c>
      <c r="I42" s="41"/>
      <c r="J42" s="165"/>
      <c r="L42" s="2"/>
    </row>
    <row r="43" spans="1:12" x14ac:dyDescent="0.2">
      <c r="A43" t="s">
        <v>97</v>
      </c>
      <c r="B43" s="22"/>
      <c r="C43" s="43">
        <f t="shared" ref="C43:H43" si="8">(SUM(C31:C39)-MAX(C31:C39)-MIN(C31:C39))/(COUNT(C31:C39)-2)</f>
        <v>1.0344251015351482</v>
      </c>
      <c r="D43" s="43">
        <f t="shared" si="8"/>
        <v>0.98651100462439978</v>
      </c>
      <c r="E43" s="43">
        <f t="shared" si="8"/>
        <v>0.99229329762618224</v>
      </c>
      <c r="F43" s="43">
        <f t="shared" si="8"/>
        <v>0.99272836845261192</v>
      </c>
      <c r="G43" s="43">
        <f t="shared" si="8"/>
        <v>0.9962387583913378</v>
      </c>
      <c r="H43" s="43">
        <f t="shared" si="8"/>
        <v>0.99710056222512344</v>
      </c>
      <c r="I43" s="41"/>
      <c r="J43" s="165"/>
      <c r="L43" s="2"/>
    </row>
    <row r="44" spans="1:12" x14ac:dyDescent="0.2">
      <c r="A44" t="s">
        <v>98</v>
      </c>
      <c r="C44" s="41">
        <f>AVERAGE(C37:C39)</f>
        <v>0.98498024991032107</v>
      </c>
      <c r="D44" s="41">
        <f>AVERAGE(D36:D38)</f>
        <v>1.010674365469826</v>
      </c>
      <c r="E44" s="41">
        <f>AVERAGE(E35:E37)</f>
        <v>0.99225216525680182</v>
      </c>
      <c r="F44" s="41">
        <f>AVERAGE(F34:F36)</f>
        <v>0.98632012493442645</v>
      </c>
      <c r="G44" s="41">
        <f>AVERAGE(G33:G35)</f>
        <v>1.0030235753669825</v>
      </c>
      <c r="H44" s="41">
        <f>AVERAGE(H32:H34)</f>
        <v>0.99850123208266817</v>
      </c>
      <c r="J44" s="50"/>
      <c r="L44" s="2"/>
    </row>
    <row r="45" spans="1:12" x14ac:dyDescent="0.2">
      <c r="A45" t="s">
        <v>72</v>
      </c>
      <c r="B45" s="25"/>
      <c r="C45" s="41">
        <f>AVERAGE(C35:C39)</f>
        <v>1.0133008237057508</v>
      </c>
      <c r="D45" s="41">
        <f>AVERAGE(D34:D38)</f>
        <v>0.98601251768009612</v>
      </c>
      <c r="E45" s="41">
        <f>AVERAGE(E33:E37)</f>
        <v>0.99083131537150082</v>
      </c>
      <c r="F45" s="41">
        <f>AVERAGE(F32:F36)</f>
        <v>0.98943807795799876</v>
      </c>
      <c r="G45" s="41">
        <f>AVERAGE(G31:G35)</f>
        <v>1.0001690210500993</v>
      </c>
      <c r="H45" s="41">
        <f>AVERAGE(H31:H34)</f>
        <v>0.99529022307114323</v>
      </c>
      <c r="J45" s="50"/>
      <c r="L45" s="2"/>
    </row>
    <row r="46" spans="1:12" x14ac:dyDescent="0.2">
      <c r="A46" s="60" t="s">
        <v>265</v>
      </c>
      <c r="B46" s="60"/>
      <c r="C46" s="223">
        <f>'[5]4.3'!C46</f>
        <v>1.0409999999999999</v>
      </c>
      <c r="D46" s="223">
        <f>'[5]4.3'!D46</f>
        <v>0.97699999999999998</v>
      </c>
      <c r="E46" s="223">
        <f>'[5]4.3'!E46</f>
        <v>0.996</v>
      </c>
      <c r="F46" s="223">
        <f>'[5]4.3'!F46</f>
        <v>0.99</v>
      </c>
      <c r="G46" s="223">
        <f>'[5]4.3'!G46</f>
        <v>1</v>
      </c>
      <c r="H46" s="223">
        <f>'[5]4.3'!H46</f>
        <v>0.997</v>
      </c>
      <c r="I46" s="223">
        <f>'[5]4.3'!I46</f>
        <v>1</v>
      </c>
      <c r="J46" s="166"/>
      <c r="L46" s="2"/>
    </row>
    <row r="47" spans="1:12" x14ac:dyDescent="0.2">
      <c r="A47" t="s">
        <v>73</v>
      </c>
      <c r="C47" s="223">
        <f>'[5]4.3'!C47</f>
        <v>1.0229999999999999</v>
      </c>
      <c r="D47" s="223">
        <f>'[5]4.3'!D47</f>
        <v>0.99</v>
      </c>
      <c r="E47" s="223">
        <f>'[5]4.3'!E47</f>
        <v>0.99299999999999999</v>
      </c>
      <c r="F47" s="223">
        <f>'[5]4.3'!F47</f>
        <v>0.99</v>
      </c>
      <c r="G47" s="223">
        <f>'[5]4.3'!G47</f>
        <v>1</v>
      </c>
      <c r="H47" s="223">
        <f>'[5]4.3'!H47</f>
        <v>0.997</v>
      </c>
      <c r="I47" s="223">
        <f>'[5]4.3'!I47</f>
        <v>1</v>
      </c>
      <c r="J47" s="167"/>
      <c r="L47" s="2"/>
    </row>
    <row r="48" spans="1:12" x14ac:dyDescent="0.2">
      <c r="A48" t="s">
        <v>74</v>
      </c>
      <c r="C48" s="43">
        <f t="shared" ref="C48:H48" si="9">ROUND(C47*D48,3)</f>
        <v>0.99199999999999999</v>
      </c>
      <c r="D48" s="43">
        <f t="shared" si="9"/>
        <v>0.97</v>
      </c>
      <c r="E48" s="43">
        <f t="shared" si="9"/>
        <v>0.98</v>
      </c>
      <c r="F48" s="43">
        <f t="shared" si="9"/>
        <v>0.98699999999999999</v>
      </c>
      <c r="G48" s="43">
        <f t="shared" si="9"/>
        <v>0.997</v>
      </c>
      <c r="H48" s="43">
        <f t="shared" si="9"/>
        <v>0.997</v>
      </c>
      <c r="I48" s="43">
        <f>I47</f>
        <v>1</v>
      </c>
      <c r="J48" s="105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50"/>
      <c r="L49" s="2"/>
    </row>
    <row r="50" spans="1:12" ht="12" thickTop="1" x14ac:dyDescent="0.2">
      <c r="J50" s="50"/>
      <c r="L50" s="2"/>
    </row>
    <row r="51" spans="1:12" x14ac:dyDescent="0.2">
      <c r="J51" s="50"/>
      <c r="L51" s="2"/>
    </row>
    <row r="52" spans="1:12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92D050"/>
  </sheetPr>
  <dimension ref="A1:K71"/>
  <sheetViews>
    <sheetView showGridLines="0" workbookViewId="0">
      <selection activeCell="G19" sqref="G19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1640625" bestFit="1" customWidth="1"/>
  </cols>
  <sheetData>
    <row r="1" spans="1:11" x14ac:dyDescent="0.2">
      <c r="A1" s="8" t="str">
        <f>'1'!$A$1</f>
        <v>Texas Windstorm Insurance Association</v>
      </c>
      <c r="B1" s="12"/>
      <c r="J1" s="7" t="s">
        <v>75</v>
      </c>
      <c r="K1" s="1"/>
    </row>
    <row r="2" spans="1:11" x14ac:dyDescent="0.2">
      <c r="A2" s="8" t="str">
        <f>'1'!$A$2</f>
        <v>Residential Property - Wind &amp; Hail</v>
      </c>
      <c r="B2" s="12"/>
      <c r="J2" s="7" t="s">
        <v>91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220</v>
      </c>
      <c r="B4" s="12"/>
      <c r="K4" s="2"/>
    </row>
    <row r="5" spans="1:11" x14ac:dyDescent="0.2">
      <c r="B5" s="12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6"/>
      <c r="E7" s="6"/>
      <c r="F7" s="6"/>
      <c r="G7" s="6"/>
      <c r="K7" s="2"/>
    </row>
    <row r="8" spans="1:11" ht="12" thickTop="1" x14ac:dyDescent="0.2">
      <c r="K8" s="2"/>
    </row>
    <row r="9" spans="1:11" x14ac:dyDescent="0.2">
      <c r="C9" s="22" t="s">
        <v>87</v>
      </c>
      <c r="E9" t="s">
        <v>13</v>
      </c>
      <c r="K9" s="2"/>
    </row>
    <row r="10" spans="1:11" x14ac:dyDescent="0.2">
      <c r="A10" t="s">
        <v>53</v>
      </c>
      <c r="C10" t="s">
        <v>92</v>
      </c>
      <c r="D10" t="s">
        <v>56</v>
      </c>
      <c r="E10" t="s">
        <v>35</v>
      </c>
      <c r="F10" t="s">
        <v>87</v>
      </c>
      <c r="G10" t="s">
        <v>87</v>
      </c>
      <c r="K10" s="2"/>
    </row>
    <row r="11" spans="1:11" x14ac:dyDescent="0.2">
      <c r="A11" s="9" t="s">
        <v>54</v>
      </c>
      <c r="B11" s="9"/>
      <c r="C11" s="9" t="str">
        <f>"at "&amp;TEXT('4.2'!$M$11,"m/d/yy")</f>
        <v>at 12/31/19</v>
      </c>
      <c r="D11" s="9" t="s">
        <v>37</v>
      </c>
      <c r="E11" s="9" t="s">
        <v>92</v>
      </c>
      <c r="F11" s="9" t="s">
        <v>93</v>
      </c>
      <c r="G11" s="9" t="s">
        <v>36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1" x14ac:dyDescent="0.2">
      <c r="A13" s="235">
        <v>1980</v>
      </c>
      <c r="E13" s="82"/>
      <c r="F13" s="82"/>
      <c r="G13" s="82">
        <f>'[5]4.4'!G13</f>
        <v>1318</v>
      </c>
      <c r="K13" s="2"/>
    </row>
    <row r="14" spans="1:11" x14ac:dyDescent="0.2">
      <c r="A14" t="str">
        <f>TEXT(A13+1,"#")</f>
        <v>1981</v>
      </c>
      <c r="B14" s="25"/>
      <c r="C14" s="31"/>
      <c r="D14" s="31"/>
      <c r="E14" s="82"/>
      <c r="F14" s="82"/>
      <c r="G14" s="82">
        <f>'[5]4.4'!G14</f>
        <v>543</v>
      </c>
      <c r="K14" s="2"/>
    </row>
    <row r="15" spans="1:11" x14ac:dyDescent="0.2">
      <c r="A15" t="str">
        <f>TEXT(A14+1,"#")</f>
        <v>1982</v>
      </c>
      <c r="B15" s="25"/>
      <c r="C15" s="31"/>
      <c r="D15" s="31"/>
      <c r="E15" s="82"/>
      <c r="F15" s="82"/>
      <c r="G15" s="82">
        <f>'[5]4.4'!G15</f>
        <v>565</v>
      </c>
      <c r="K15" s="2"/>
    </row>
    <row r="16" spans="1:11" x14ac:dyDescent="0.2">
      <c r="A16" t="str">
        <f t="shared" ref="A16:A51" si="0">TEXT(A15+1,"#")</f>
        <v>1983</v>
      </c>
      <c r="B16" s="25"/>
      <c r="C16" s="31"/>
      <c r="D16" s="31"/>
      <c r="E16" s="82"/>
      <c r="F16" s="82"/>
      <c r="G16" s="82">
        <f>'[5]4.4'!G16</f>
        <v>9127</v>
      </c>
      <c r="K16" s="2"/>
    </row>
    <row r="17" spans="1:11" x14ac:dyDescent="0.2">
      <c r="A17" t="str">
        <f t="shared" si="0"/>
        <v>1984</v>
      </c>
      <c r="B17" s="25"/>
      <c r="C17" s="31"/>
      <c r="D17" s="31"/>
      <c r="E17" s="82"/>
      <c r="F17" s="82"/>
      <c r="G17" s="82">
        <f>'[5]4.4'!G17</f>
        <v>324</v>
      </c>
      <c r="K17" s="2"/>
    </row>
    <row r="18" spans="1:11" x14ac:dyDescent="0.2">
      <c r="A18" t="str">
        <f t="shared" si="0"/>
        <v>1985</v>
      </c>
      <c r="B18" s="25"/>
      <c r="C18" s="31"/>
      <c r="D18" s="31"/>
      <c r="E18" s="82"/>
      <c r="F18" s="82"/>
      <c r="G18" s="82">
        <f>'[5]4.4'!G18</f>
        <v>297</v>
      </c>
      <c r="K18" s="2"/>
    </row>
    <row r="19" spans="1:11" x14ac:dyDescent="0.2">
      <c r="A19" t="str">
        <f t="shared" si="0"/>
        <v>1986</v>
      </c>
      <c r="B19" s="25"/>
      <c r="C19" s="31"/>
      <c r="D19" s="31"/>
      <c r="E19" s="82">
        <f>'[5]4.4'!E19</f>
        <v>270</v>
      </c>
      <c r="F19" s="82">
        <f>'[5]4.4'!F19</f>
        <v>235</v>
      </c>
      <c r="G19" s="82">
        <f>'[5]4.4'!G19</f>
        <v>505</v>
      </c>
      <c r="K19" s="2"/>
    </row>
    <row r="20" spans="1:11" x14ac:dyDescent="0.2">
      <c r="A20" t="str">
        <f t="shared" si="0"/>
        <v>1987</v>
      </c>
      <c r="B20" s="25"/>
      <c r="C20" s="31"/>
      <c r="D20" s="31"/>
      <c r="E20" s="82">
        <f>'[5]4.4'!E20</f>
        <v>652</v>
      </c>
      <c r="F20" s="82">
        <f>'[5]4.4'!F20</f>
        <v>404</v>
      </c>
      <c r="G20" s="82">
        <f>'[5]4.4'!G20</f>
        <v>1056</v>
      </c>
      <c r="K20" s="2"/>
    </row>
    <row r="21" spans="1:11" x14ac:dyDescent="0.2">
      <c r="A21" t="str">
        <f t="shared" si="0"/>
        <v>1988</v>
      </c>
      <c r="B21" s="25"/>
      <c r="C21" s="31"/>
      <c r="D21" s="31"/>
      <c r="E21" s="82">
        <f>'[5]4.4'!E21</f>
        <v>235</v>
      </c>
      <c r="F21" s="82">
        <f>'[5]4.4'!F21</f>
        <v>122</v>
      </c>
      <c r="G21" s="82">
        <f>'[5]4.4'!G21</f>
        <v>357</v>
      </c>
      <c r="K21" s="2"/>
    </row>
    <row r="22" spans="1:11" x14ac:dyDescent="0.2">
      <c r="A22" t="str">
        <f t="shared" si="0"/>
        <v>1989</v>
      </c>
      <c r="B22" s="25"/>
      <c r="C22" s="31"/>
      <c r="D22" s="31"/>
      <c r="E22" s="82">
        <f>'[5]4.4'!E22</f>
        <v>2727</v>
      </c>
      <c r="F22" s="82">
        <f>'[5]4.4'!F22</f>
        <v>801</v>
      </c>
      <c r="G22" s="82">
        <f>'[5]4.4'!G22</f>
        <v>3528</v>
      </c>
      <c r="K22" s="2"/>
    </row>
    <row r="23" spans="1:11" x14ac:dyDescent="0.2">
      <c r="A23" t="str">
        <f t="shared" si="0"/>
        <v>1990</v>
      </c>
      <c r="C23" s="31"/>
      <c r="D23" s="31"/>
      <c r="E23" s="82">
        <f>'[5]4.4'!E23</f>
        <v>119</v>
      </c>
      <c r="F23" s="82">
        <f>'[5]4.4'!F23</f>
        <v>106</v>
      </c>
      <c r="G23" s="82">
        <f>'[5]4.4'!G23</f>
        <v>225</v>
      </c>
      <c r="K23" s="2"/>
    </row>
    <row r="24" spans="1:11" x14ac:dyDescent="0.2">
      <c r="A24" t="str">
        <f t="shared" si="0"/>
        <v>1991</v>
      </c>
      <c r="C24" s="31"/>
      <c r="D24" s="31"/>
      <c r="E24" s="82">
        <f>'[5]4.4'!E24</f>
        <v>403</v>
      </c>
      <c r="F24" s="82">
        <f>'[5]4.4'!F24</f>
        <v>326</v>
      </c>
      <c r="G24" s="82">
        <f>'[5]4.4'!G24</f>
        <v>729</v>
      </c>
      <c r="K24" s="2"/>
    </row>
    <row r="25" spans="1:11" x14ac:dyDescent="0.2">
      <c r="A25" t="str">
        <f t="shared" si="0"/>
        <v>1992</v>
      </c>
      <c r="C25" s="31"/>
      <c r="D25" s="31"/>
      <c r="E25" s="82">
        <f>'[5]4.4'!E25</f>
        <v>270</v>
      </c>
      <c r="F25" s="82">
        <f>'[5]4.4'!F25</f>
        <v>284</v>
      </c>
      <c r="G25" s="82">
        <f>'[5]4.4'!G25</f>
        <v>554</v>
      </c>
      <c r="K25" s="2"/>
    </row>
    <row r="26" spans="1:11" x14ac:dyDescent="0.2">
      <c r="A26" t="str">
        <f t="shared" si="0"/>
        <v>1993</v>
      </c>
      <c r="C26" s="31"/>
      <c r="D26" s="31"/>
      <c r="E26" s="82">
        <f>'[5]4.4'!E26</f>
        <v>806</v>
      </c>
      <c r="F26" s="82">
        <f>'[5]4.4'!F26</f>
        <v>569</v>
      </c>
      <c r="G26" s="82">
        <f>'[5]4.4'!G26</f>
        <v>1375</v>
      </c>
      <c r="K26" s="2"/>
    </row>
    <row r="27" spans="1:11" x14ac:dyDescent="0.2">
      <c r="A27" t="str">
        <f t="shared" si="0"/>
        <v>1994</v>
      </c>
      <c r="C27" s="31"/>
      <c r="D27" s="31"/>
      <c r="E27" s="82">
        <f>'[5]4.4'!E27</f>
        <v>192</v>
      </c>
      <c r="F27" s="82">
        <f>'[5]4.4'!F27</f>
        <v>315</v>
      </c>
      <c r="G27" s="82">
        <f>'[5]4.4'!G27</f>
        <v>507</v>
      </c>
      <c r="K27" s="2"/>
    </row>
    <row r="28" spans="1:11" x14ac:dyDescent="0.2">
      <c r="A28" t="str">
        <f t="shared" si="0"/>
        <v>1995</v>
      </c>
      <c r="C28" s="31"/>
      <c r="D28" s="31"/>
      <c r="E28" s="82">
        <f>'[5]4.4'!E28</f>
        <v>698</v>
      </c>
      <c r="F28" s="82">
        <f>'[5]4.4'!F28</f>
        <v>205</v>
      </c>
      <c r="G28" s="82">
        <f>'[5]4.4'!G28</f>
        <v>903</v>
      </c>
      <c r="K28" s="2"/>
    </row>
    <row r="29" spans="1:11" x14ac:dyDescent="0.2">
      <c r="A29" t="str">
        <f t="shared" si="0"/>
        <v>1996</v>
      </c>
      <c r="C29" s="31"/>
      <c r="D29" s="31"/>
      <c r="E29" s="82">
        <f>'[5]4.4'!E29</f>
        <v>355</v>
      </c>
      <c r="F29" s="82">
        <f>'[5]4.4'!F29</f>
        <v>227</v>
      </c>
      <c r="G29" s="82">
        <f>'[5]4.4'!G29</f>
        <v>582</v>
      </c>
      <c r="K29" s="2"/>
    </row>
    <row r="30" spans="1:11" x14ac:dyDescent="0.2">
      <c r="A30" t="str">
        <f t="shared" si="0"/>
        <v>1997</v>
      </c>
      <c r="C30" s="31"/>
      <c r="D30" s="31"/>
      <c r="E30" s="82">
        <f>'[5]4.4'!E30</f>
        <v>892</v>
      </c>
      <c r="F30" s="82">
        <f>'[5]4.4'!F30</f>
        <v>451</v>
      </c>
      <c r="G30" s="82">
        <f>'[5]4.4'!G30</f>
        <v>1343</v>
      </c>
      <c r="K30" s="2"/>
    </row>
    <row r="31" spans="1:11" x14ac:dyDescent="0.2">
      <c r="A31" t="str">
        <f t="shared" si="0"/>
        <v>1998</v>
      </c>
      <c r="C31" s="31"/>
      <c r="D31" s="31"/>
      <c r="E31" s="82">
        <f>'[5]4.4'!E31</f>
        <v>3920</v>
      </c>
      <c r="F31" s="82">
        <f>'[5]4.4'!F31</f>
        <v>812</v>
      </c>
      <c r="G31" s="82">
        <f>'[5]4.4'!G31</f>
        <v>4732</v>
      </c>
      <c r="K31" s="2"/>
    </row>
    <row r="32" spans="1:11" x14ac:dyDescent="0.2">
      <c r="A32" t="str">
        <f t="shared" si="0"/>
        <v>1999</v>
      </c>
      <c r="B32" s="22"/>
      <c r="C32" s="31"/>
      <c r="D32" s="31"/>
      <c r="E32" s="82">
        <f>'[5]4.4'!E32</f>
        <v>1757</v>
      </c>
      <c r="F32" s="82">
        <f>'[5]4.4'!F32</f>
        <v>631</v>
      </c>
      <c r="G32" s="82">
        <f>'[5]4.4'!G32</f>
        <v>2388</v>
      </c>
      <c r="K32" s="2"/>
    </row>
    <row r="33" spans="1:11" x14ac:dyDescent="0.2">
      <c r="A33" t="str">
        <f t="shared" si="0"/>
        <v>2000</v>
      </c>
      <c r="B33" s="22"/>
      <c r="C33" s="31"/>
      <c r="D33" s="31"/>
      <c r="E33" s="82">
        <f>'[5]4.4'!E33</f>
        <v>1209</v>
      </c>
      <c r="F33" s="82">
        <f>'[5]4.4'!F33</f>
        <v>676</v>
      </c>
      <c r="G33" s="82">
        <f>'[5]4.4'!G33</f>
        <v>1885</v>
      </c>
      <c r="K33" s="2"/>
    </row>
    <row r="34" spans="1:11" x14ac:dyDescent="0.2">
      <c r="A34" t="str">
        <f t="shared" si="0"/>
        <v>2001</v>
      </c>
      <c r="E34" s="82">
        <f>'[5]4.4'!E34</f>
        <v>1207</v>
      </c>
      <c r="F34" s="82">
        <f>'[5]4.4'!F34</f>
        <v>673</v>
      </c>
      <c r="G34" s="82">
        <f>'[5]4.4'!G34</f>
        <v>1880</v>
      </c>
      <c r="K34" s="2"/>
    </row>
    <row r="35" spans="1:11" x14ac:dyDescent="0.2">
      <c r="A35" t="str">
        <f t="shared" si="0"/>
        <v>2002</v>
      </c>
      <c r="B35" s="22"/>
      <c r="C35" s="31"/>
      <c r="D35" s="39"/>
      <c r="E35" s="82">
        <f>'[5]4.4'!E35</f>
        <v>3643</v>
      </c>
      <c r="F35" s="82">
        <f>'[5]4.4'!F35</f>
        <v>1583</v>
      </c>
      <c r="G35" s="82">
        <f>'[5]4.4'!G35</f>
        <v>5226</v>
      </c>
      <c r="K35" s="2"/>
    </row>
    <row r="36" spans="1:11" x14ac:dyDescent="0.2">
      <c r="A36" t="str">
        <f t="shared" si="0"/>
        <v>2003</v>
      </c>
      <c r="C36" s="31"/>
      <c r="D36" s="39"/>
      <c r="E36" s="82">
        <f>'[5]4.4'!E36</f>
        <v>3239</v>
      </c>
      <c r="F36" s="82">
        <f>'[5]4.4'!F36</f>
        <v>1883</v>
      </c>
      <c r="G36" s="82">
        <f>'[5]4.4'!G36</f>
        <v>5122</v>
      </c>
      <c r="K36" s="2"/>
    </row>
    <row r="37" spans="1:11" x14ac:dyDescent="0.2">
      <c r="A37" t="str">
        <f t="shared" si="0"/>
        <v>2004</v>
      </c>
      <c r="C37" s="82"/>
      <c r="D37" s="124"/>
      <c r="E37" s="82">
        <f>'[5]4.4'!E37</f>
        <v>844</v>
      </c>
      <c r="F37" s="82">
        <f>'[5]4.4'!F37</f>
        <v>627</v>
      </c>
      <c r="G37" s="82">
        <f>'[5]4.4'!G37</f>
        <v>1471</v>
      </c>
      <c r="K37" s="2"/>
    </row>
    <row r="38" spans="1:11" x14ac:dyDescent="0.2">
      <c r="A38" t="str">
        <f t="shared" si="0"/>
        <v>2005</v>
      </c>
      <c r="C38" s="82"/>
      <c r="D38" s="124"/>
      <c r="E38" s="82">
        <f>'[5]4.4'!E38</f>
        <v>15229</v>
      </c>
      <c r="F38" s="82">
        <f>'[5]4.4'!F38</f>
        <v>5006</v>
      </c>
      <c r="G38" s="82">
        <f>'[5]4.4'!G38</f>
        <v>20235</v>
      </c>
      <c r="K38" s="2"/>
    </row>
    <row r="39" spans="1:11" x14ac:dyDescent="0.2">
      <c r="A39" t="str">
        <f t="shared" si="0"/>
        <v>2006</v>
      </c>
      <c r="C39" s="82"/>
      <c r="D39" s="124"/>
      <c r="E39" s="82">
        <f>'[5]4.4'!E39</f>
        <v>860</v>
      </c>
      <c r="F39" s="82">
        <f>'[5]4.4'!F39</f>
        <v>250</v>
      </c>
      <c r="G39" s="82">
        <f>'[5]4.4'!G39</f>
        <v>1110</v>
      </c>
      <c r="K39" s="2"/>
    </row>
    <row r="40" spans="1:11" x14ac:dyDescent="0.2">
      <c r="A40" t="str">
        <f t="shared" si="0"/>
        <v>2007</v>
      </c>
      <c r="C40" s="92"/>
      <c r="D40" s="243"/>
      <c r="E40" s="82">
        <f>'[5]4.4'!E40</f>
        <v>2489</v>
      </c>
      <c r="F40" s="82">
        <f>'[5]4.4'!F40</f>
        <v>2452</v>
      </c>
      <c r="G40" s="82">
        <f>'[5]4.4'!G40</f>
        <v>4941</v>
      </c>
      <c r="K40" s="2"/>
    </row>
    <row r="41" spans="1:11" x14ac:dyDescent="0.2">
      <c r="A41" t="str">
        <f t="shared" si="0"/>
        <v>2008</v>
      </c>
      <c r="C41" s="82">
        <f>'[5]4.4'!C41</f>
        <v>99668</v>
      </c>
      <c r="D41" s="124">
        <f>'[5]4.4'!D41</f>
        <v>1</v>
      </c>
      <c r="E41" s="82">
        <f>'[5]4.4'!E41</f>
        <v>99668</v>
      </c>
      <c r="F41" s="82">
        <f>'[5]4.4'!F41</f>
        <v>246947</v>
      </c>
      <c r="G41" s="82">
        <f>'[5]4.4'!G41</f>
        <v>346615</v>
      </c>
      <c r="K41" s="2"/>
    </row>
    <row r="42" spans="1:11" x14ac:dyDescent="0.2">
      <c r="A42" t="str">
        <f t="shared" si="0"/>
        <v>2009</v>
      </c>
      <c r="B42" s="51"/>
      <c r="C42" s="82">
        <f>'[5]4.4'!C42</f>
        <v>223</v>
      </c>
      <c r="D42" s="124">
        <f>'[5]4.4'!D42</f>
        <v>1</v>
      </c>
      <c r="E42" s="82">
        <f>'[5]4.4'!E42</f>
        <v>223</v>
      </c>
      <c r="F42" s="82">
        <f>'[5]4.4'!F42</f>
        <v>1996</v>
      </c>
      <c r="G42" s="82">
        <f>'[5]4.4'!G42</f>
        <v>2219</v>
      </c>
      <c r="K42" s="2"/>
    </row>
    <row r="43" spans="1:11" x14ac:dyDescent="0.2">
      <c r="A43" t="str">
        <f t="shared" si="0"/>
        <v>2010</v>
      </c>
      <c r="C43" s="82">
        <f>'[5]4.4'!C43</f>
        <v>323</v>
      </c>
      <c r="D43" s="124">
        <f>'[5]4.4'!D43</f>
        <v>1</v>
      </c>
      <c r="E43" s="82">
        <f>'[5]4.4'!E43</f>
        <v>323</v>
      </c>
      <c r="F43" s="82">
        <f>'[5]4.4'!F43</f>
        <v>3951</v>
      </c>
      <c r="G43" s="82">
        <f>'[5]4.4'!G43</f>
        <v>4274</v>
      </c>
      <c r="K43" s="2"/>
    </row>
    <row r="44" spans="1:11" x14ac:dyDescent="0.2">
      <c r="A44" t="str">
        <f t="shared" si="0"/>
        <v>2011</v>
      </c>
      <c r="C44" s="82">
        <f>'[5]4.4'!C44</f>
        <v>725</v>
      </c>
      <c r="D44" s="124">
        <f>'[5]4.4'!D44</f>
        <v>1</v>
      </c>
      <c r="E44" s="82">
        <f>'[5]4.4'!E44</f>
        <v>725</v>
      </c>
      <c r="F44" s="82">
        <f>'[5]4.4'!F44</f>
        <v>14386</v>
      </c>
      <c r="G44" s="82">
        <f>'[5]4.4'!G44</f>
        <v>15111</v>
      </c>
      <c r="K44" s="2"/>
    </row>
    <row r="45" spans="1:11" x14ac:dyDescent="0.2">
      <c r="A45" t="str">
        <f t="shared" si="0"/>
        <v>2012</v>
      </c>
      <c r="B45" s="51"/>
      <c r="C45" s="82">
        <f>'[5]4.4'!C45</f>
        <v>871</v>
      </c>
      <c r="D45" s="124">
        <f>'[5]4.4'!D45</f>
        <v>1</v>
      </c>
      <c r="E45" s="82">
        <f>'[5]4.4'!E45</f>
        <v>871</v>
      </c>
      <c r="F45" s="82">
        <f>'[5]4.4'!F45</f>
        <v>14961</v>
      </c>
      <c r="G45" s="82">
        <f>'[5]4.4'!G45</f>
        <v>15832</v>
      </c>
      <c r="K45" s="2"/>
    </row>
    <row r="46" spans="1:11" x14ac:dyDescent="0.2">
      <c r="A46" t="str">
        <f t="shared" si="0"/>
        <v>2013</v>
      </c>
      <c r="C46" s="82">
        <f>'[5]4.4'!C46</f>
        <v>901</v>
      </c>
      <c r="D46" s="124">
        <f>'[5]4.4'!D46</f>
        <v>1</v>
      </c>
      <c r="E46" s="82">
        <f>'[5]4.4'!E46</f>
        <v>901</v>
      </c>
      <c r="F46" s="82">
        <f>'[5]4.4'!F46</f>
        <v>12926</v>
      </c>
      <c r="G46" s="82">
        <f>'[5]4.4'!G46</f>
        <v>13827</v>
      </c>
      <c r="K46" s="2"/>
    </row>
    <row r="47" spans="1:11" x14ac:dyDescent="0.2">
      <c r="A47" t="str">
        <f t="shared" si="0"/>
        <v>2014</v>
      </c>
      <c r="B47" s="50"/>
      <c r="C47" s="82">
        <f>'[5]4.4'!C47</f>
        <v>1028</v>
      </c>
      <c r="D47" s="124">
        <f>'[5]4.4'!D47</f>
        <v>0.98099999999999998</v>
      </c>
      <c r="E47" s="82">
        <f>'[5]4.4'!E47</f>
        <v>1008</v>
      </c>
      <c r="F47" s="82">
        <f>'[5]4.4'!F47</f>
        <v>5796</v>
      </c>
      <c r="G47" s="82">
        <f>'[5]4.4'!G47</f>
        <v>6804</v>
      </c>
      <c r="K47" s="2"/>
    </row>
    <row r="48" spans="1:11" x14ac:dyDescent="0.2">
      <c r="A48" t="str">
        <f t="shared" si="0"/>
        <v>2015</v>
      </c>
      <c r="B48" s="50"/>
      <c r="C48" s="82">
        <f>'[5]4.4'!C48</f>
        <v>2944</v>
      </c>
      <c r="D48" s="124">
        <f>'[5]4.4'!D48</f>
        <v>0.97299999999999998</v>
      </c>
      <c r="E48" s="82">
        <f>'[5]4.4'!E48</f>
        <v>2865</v>
      </c>
      <c r="F48" s="82">
        <f>'[5]4.4'!F48</f>
        <v>37053</v>
      </c>
      <c r="G48" s="82">
        <f>'[5]4.4'!G48</f>
        <v>39918</v>
      </c>
      <c r="K48" s="2"/>
    </row>
    <row r="49" spans="1:11" x14ac:dyDescent="0.2">
      <c r="A49" t="str">
        <f t="shared" si="0"/>
        <v>2016</v>
      </c>
      <c r="C49" s="82">
        <f>'[5]4.4'!C49</f>
        <v>571</v>
      </c>
      <c r="D49" s="124">
        <f>'[5]4.4'!D49</f>
        <v>0.98099999999999998</v>
      </c>
      <c r="E49" s="82">
        <f>'[5]4.4'!E49</f>
        <v>560</v>
      </c>
      <c r="F49" s="82">
        <f>'[5]4.4'!F49</f>
        <v>14885</v>
      </c>
      <c r="G49" s="82">
        <f>'[5]4.4'!G49</f>
        <v>15445</v>
      </c>
      <c r="K49" s="2"/>
    </row>
    <row r="50" spans="1:11" x14ac:dyDescent="0.2">
      <c r="A50" s="50" t="str">
        <f t="shared" si="0"/>
        <v>2017</v>
      </c>
      <c r="B50" s="50"/>
      <c r="C50" s="82">
        <f>'[5]4.4'!C50</f>
        <v>21865</v>
      </c>
      <c r="D50" s="124">
        <f>'[5]4.4'!D50</f>
        <v>1.0629999999999999</v>
      </c>
      <c r="E50" s="82">
        <f>'[5]4.4'!E50</f>
        <v>23242</v>
      </c>
      <c r="F50" s="82">
        <f>'[5]4.4'!F50</f>
        <v>266503</v>
      </c>
      <c r="G50" s="82">
        <f>'[5]4.4'!G50</f>
        <v>289745</v>
      </c>
      <c r="K50" s="2"/>
    </row>
    <row r="51" spans="1:11" x14ac:dyDescent="0.2">
      <c r="A51" s="50" t="str">
        <f t="shared" si="0"/>
        <v>2018</v>
      </c>
      <c r="B51" s="50"/>
      <c r="C51" s="103">
        <f>'[5]4.4'!C51</f>
        <v>361</v>
      </c>
      <c r="D51" s="166">
        <f>'[5]4.4'!D51</f>
        <v>1.169</v>
      </c>
      <c r="E51" s="103">
        <f>'[5]4.4'!E51</f>
        <v>422</v>
      </c>
      <c r="F51" s="103">
        <f>'[5]4.4'!F51</f>
        <v>6378</v>
      </c>
      <c r="G51" s="103">
        <f>'[5]4.4'!G51</f>
        <v>6800</v>
      </c>
      <c r="K51" s="2"/>
    </row>
    <row r="52" spans="1:11" x14ac:dyDescent="0.2">
      <c r="A52" s="26">
        <v>2019</v>
      </c>
      <c r="B52" s="9"/>
      <c r="C52" s="83">
        <f>'[5]4.4'!C52</f>
        <v>48</v>
      </c>
      <c r="D52" s="321">
        <f>'[5]4.4'!D52</f>
        <v>1.403</v>
      </c>
      <c r="E52" s="83">
        <f>'[5]4.4'!E52</f>
        <v>67</v>
      </c>
      <c r="F52" s="83">
        <f>'[5]4.4'!F52</f>
        <v>8378</v>
      </c>
      <c r="G52" s="83">
        <f>'[5]4.4'!G52</f>
        <v>8445</v>
      </c>
      <c r="K52" s="2"/>
    </row>
    <row r="53" spans="1:11" x14ac:dyDescent="0.2">
      <c r="A53" s="50"/>
      <c r="B53" s="50"/>
      <c r="C53" s="186"/>
      <c r="D53" s="244"/>
      <c r="E53" s="103"/>
      <c r="F53" s="103"/>
      <c r="G53" s="103"/>
      <c r="K53" s="2"/>
    </row>
    <row r="54" spans="1:11" x14ac:dyDescent="0.2">
      <c r="A54" s="50"/>
      <c r="B54" s="50"/>
      <c r="C54" s="50"/>
      <c r="D54" s="50"/>
      <c r="E54" s="50"/>
      <c r="F54" s="50"/>
      <c r="G54" s="50"/>
      <c r="K54" s="2"/>
    </row>
    <row r="55" spans="1:11" x14ac:dyDescent="0.2">
      <c r="A55" t="s">
        <v>17</v>
      </c>
      <c r="D55" s="22"/>
      <c r="K55" s="2"/>
    </row>
    <row r="56" spans="1:11" x14ac:dyDescent="0.2">
      <c r="B56" s="22" t="str">
        <f>C12&amp;" "&amp;'4.5AS LAE Dev'!$K$1&amp;", "&amp;'4.5AS LAE Dev'!$K$2</f>
        <v>(2) Exhibit 4, Sheet 5</v>
      </c>
      <c r="K56" s="2"/>
    </row>
    <row r="57" spans="1:11" x14ac:dyDescent="0.2">
      <c r="B57" s="22" t="str">
        <f>D12&amp;" "&amp;'4.5AS LAE Dev'!$K$1&amp;", "&amp;'4.5AS LAE Dev'!$K$2</f>
        <v>(3) Exhibit 4, Sheet 5</v>
      </c>
      <c r="K57" s="2"/>
    </row>
    <row r="58" spans="1:11" x14ac:dyDescent="0.2">
      <c r="B58" s="22" t="str">
        <f>'[5]4.4'!$B$57</f>
        <v>(4) 2008 - 2019: (2) * (3); 1986 - 2007: from TWIA's annual statements</v>
      </c>
      <c r="K58" s="2"/>
    </row>
    <row r="59" spans="1:11" x14ac:dyDescent="0.2">
      <c r="B59" s="22" t="str">
        <f>F12&amp;" From TWIA's annual statements"</f>
        <v>(5) From TWIA's annual statements</v>
      </c>
      <c r="K59" s="2"/>
    </row>
    <row r="60" spans="1:11" x14ac:dyDescent="0.2">
      <c r="B60" s="60" t="str">
        <f>'[5]4.4'!$B$59</f>
        <v>(6) 1986 - 2019: (4) + (5); prior years from prior TWIA annual statements</v>
      </c>
      <c r="C60" s="19"/>
      <c r="F60" s="45"/>
      <c r="K60" s="2"/>
    </row>
    <row r="61" spans="1:11" x14ac:dyDescent="0.2">
      <c r="F61" s="45"/>
      <c r="K61" s="2"/>
    </row>
    <row r="62" spans="1:11" x14ac:dyDescent="0.2">
      <c r="C62" s="19"/>
      <c r="D62" s="19"/>
      <c r="E62" s="39"/>
      <c r="F62" s="45"/>
      <c r="K62" s="2"/>
    </row>
    <row r="63" spans="1:11" x14ac:dyDescent="0.2">
      <c r="C63" s="19"/>
      <c r="D63" s="19"/>
      <c r="E63" s="39"/>
      <c r="F63" s="45"/>
      <c r="K63" s="2"/>
    </row>
    <row r="64" spans="1:11" x14ac:dyDescent="0.2">
      <c r="C64" s="19"/>
      <c r="D64" s="19"/>
      <c r="E64" s="39"/>
      <c r="F64" s="45"/>
      <c r="K64" s="2"/>
    </row>
    <row r="65" spans="1:11" x14ac:dyDescent="0.2">
      <c r="C65" s="19"/>
      <c r="D65" s="19"/>
      <c r="E65" s="39"/>
      <c r="F65" s="45"/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rgb="FF92D050"/>
  </sheetPr>
  <dimension ref="A1:M71"/>
  <sheetViews>
    <sheetView showGridLines="0" workbookViewId="0">
      <selection activeCell="J29" sqref="J29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J1" s="50"/>
      <c r="K1" s="7" t="s">
        <v>75</v>
      </c>
      <c r="L1" s="1"/>
    </row>
    <row r="2" spans="1:13" x14ac:dyDescent="0.2">
      <c r="A2" s="8" t="str">
        <f>'1'!$A$2</f>
        <v>Residential Property - Wind &amp; Hail</v>
      </c>
      <c r="B2" s="12"/>
      <c r="J2" s="50"/>
      <c r="K2" s="7" t="s">
        <v>94</v>
      </c>
      <c r="L2" s="2"/>
    </row>
    <row r="3" spans="1:13" x14ac:dyDescent="0.2">
      <c r="A3" s="8" t="str">
        <f>'1'!$A$3</f>
        <v>Rate Level Review</v>
      </c>
      <c r="B3" s="12"/>
      <c r="J3" s="50"/>
      <c r="L3" s="2"/>
    </row>
    <row r="4" spans="1:13" x14ac:dyDescent="0.2">
      <c r="A4" t="s">
        <v>95</v>
      </c>
      <c r="B4" s="12"/>
      <c r="J4" s="50"/>
      <c r="L4" s="2"/>
    </row>
    <row r="5" spans="1:13" x14ac:dyDescent="0.2">
      <c r="A5" t="s">
        <v>96</v>
      </c>
      <c r="B5" s="12"/>
      <c r="J5" s="50"/>
      <c r="L5" s="2"/>
    </row>
    <row r="6" spans="1:13" x14ac:dyDescent="0.2">
      <c r="J6" s="50"/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3" ht="12" thickTop="1" x14ac:dyDescent="0.2">
      <c r="J8" s="50"/>
      <c r="L8" s="2"/>
    </row>
    <row r="9" spans="1:13" x14ac:dyDescent="0.2">
      <c r="C9" s="24" t="s">
        <v>68</v>
      </c>
      <c r="J9" s="50"/>
      <c r="L9" s="2"/>
      <c r="M9" s="27"/>
    </row>
    <row r="10" spans="1:13" x14ac:dyDescent="0.2">
      <c r="A10" t="s">
        <v>53</v>
      </c>
      <c r="J10" s="50"/>
      <c r="L10" s="2"/>
      <c r="M10" t="s">
        <v>69</v>
      </c>
    </row>
    <row r="11" spans="1:13" x14ac:dyDescent="0.2">
      <c r="A11" s="9" t="s">
        <v>54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2">
        <f>'[7]4.5'!L11</f>
        <v>12</v>
      </c>
    </row>
    <row r="12" spans="1:13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7"/>
      <c r="L12" s="2"/>
    </row>
    <row r="13" spans="1:13" x14ac:dyDescent="0.2">
      <c r="J13" s="50"/>
      <c r="L13" s="2"/>
    </row>
    <row r="14" spans="1:13" x14ac:dyDescent="0.2">
      <c r="A14" t="str">
        <f t="shared" ref="A14:A23" si="2">TEXT(A15-1,"#")</f>
        <v>2009</v>
      </c>
      <c r="B14" s="25"/>
      <c r="C14" s="82">
        <f>'[5]4.5'!C14</f>
        <v>7335</v>
      </c>
      <c r="D14" s="82">
        <f>'[5]4.5'!D14</f>
        <v>359</v>
      </c>
      <c r="E14" s="82">
        <f>'[5]4.5'!E14</f>
        <v>226</v>
      </c>
      <c r="F14" s="82">
        <f>'[5]4.5'!F14</f>
        <v>231</v>
      </c>
      <c r="G14" s="82">
        <f>'[5]4.5'!G14</f>
        <v>223</v>
      </c>
      <c r="H14" s="82">
        <f>'[5]4.5'!H14</f>
        <v>223</v>
      </c>
      <c r="I14" s="82">
        <f>'[5]4.5'!I14</f>
        <v>223</v>
      </c>
      <c r="J14" s="103"/>
      <c r="L14" s="2"/>
    </row>
    <row r="15" spans="1:13" x14ac:dyDescent="0.2">
      <c r="A15" t="str">
        <f t="shared" si="2"/>
        <v>2010</v>
      </c>
      <c r="B15" s="25"/>
      <c r="C15" s="82">
        <f>'[5]4.5'!C15</f>
        <v>391</v>
      </c>
      <c r="D15" s="82">
        <f>'[5]4.5'!D15</f>
        <v>312</v>
      </c>
      <c r="E15" s="82">
        <f>'[5]4.5'!E15</f>
        <v>322</v>
      </c>
      <c r="F15" s="82">
        <f>'[5]4.5'!F15</f>
        <v>316</v>
      </c>
      <c r="G15" s="82">
        <f>'[5]4.5'!G15</f>
        <v>335</v>
      </c>
      <c r="H15" s="82">
        <f>'[5]4.5'!H15</f>
        <v>324</v>
      </c>
      <c r="I15" s="82">
        <f>'[5]4.5'!I15</f>
        <v>323</v>
      </c>
      <c r="J15" s="103"/>
      <c r="L15" s="2"/>
    </row>
    <row r="16" spans="1:13" x14ac:dyDescent="0.2">
      <c r="A16" t="str">
        <f t="shared" si="2"/>
        <v>2011</v>
      </c>
      <c r="B16" s="25"/>
      <c r="C16" s="82">
        <f>'[5]4.5'!C16</f>
        <v>515</v>
      </c>
      <c r="D16" s="82">
        <f>'[5]4.5'!D16</f>
        <v>592</v>
      </c>
      <c r="E16" s="82">
        <f>'[5]4.5'!E16</f>
        <v>609</v>
      </c>
      <c r="F16" s="82">
        <f>'[5]4.5'!F16</f>
        <v>682</v>
      </c>
      <c r="G16" s="82">
        <f>'[5]4.5'!G16</f>
        <v>629</v>
      </c>
      <c r="H16" s="82">
        <f>'[5]4.5'!H16</f>
        <v>745</v>
      </c>
      <c r="I16" s="82">
        <f>'[5]4.5'!I16</f>
        <v>725</v>
      </c>
      <c r="J16" s="103"/>
      <c r="L16" s="2"/>
    </row>
    <row r="17" spans="1:13" x14ac:dyDescent="0.2">
      <c r="A17" t="str">
        <f t="shared" si="2"/>
        <v>2012</v>
      </c>
      <c r="B17" s="25"/>
      <c r="C17" s="82">
        <f>'[5]4.5'!C17</f>
        <v>516</v>
      </c>
      <c r="D17" s="82">
        <f>'[5]4.5'!D17</f>
        <v>679</v>
      </c>
      <c r="E17" s="82">
        <f>'[5]4.5'!E17</f>
        <v>719</v>
      </c>
      <c r="F17" s="82">
        <f>'[5]4.5'!F17</f>
        <v>632</v>
      </c>
      <c r="G17" s="82">
        <f>'[5]4.5'!G17</f>
        <v>917</v>
      </c>
      <c r="H17" s="82">
        <f>'[5]4.5'!H17</f>
        <v>880</v>
      </c>
      <c r="I17" s="82">
        <f>'[5]4.5'!I17</f>
        <v>871</v>
      </c>
      <c r="J17" s="103"/>
      <c r="L17" s="2"/>
    </row>
    <row r="18" spans="1:13" x14ac:dyDescent="0.2">
      <c r="A18" t="str">
        <f t="shared" si="2"/>
        <v>2013</v>
      </c>
      <c r="B18" s="25"/>
      <c r="C18" s="82">
        <f>'[5]4.5'!C18</f>
        <v>802</v>
      </c>
      <c r="D18" s="82">
        <f>'[5]4.5'!D18</f>
        <v>806</v>
      </c>
      <c r="E18" s="82">
        <f>'[5]4.5'!E18</f>
        <v>715</v>
      </c>
      <c r="F18" s="82">
        <f>'[5]4.5'!F18</f>
        <v>1089</v>
      </c>
      <c r="G18" s="82">
        <f>'[5]4.5'!G18</f>
        <v>991</v>
      </c>
      <c r="H18" s="82">
        <f>'[5]4.5'!H18</f>
        <v>971</v>
      </c>
      <c r="I18" s="82">
        <f>'[5]4.5'!I18</f>
        <v>901</v>
      </c>
      <c r="J18" s="103"/>
      <c r="L18" s="2"/>
    </row>
    <row r="19" spans="1:13" x14ac:dyDescent="0.2">
      <c r="A19" t="str">
        <f t="shared" si="2"/>
        <v>2014</v>
      </c>
      <c r="B19" s="25"/>
      <c r="C19" s="82">
        <f>'[5]4.5'!C19</f>
        <v>516</v>
      </c>
      <c r="D19" s="82">
        <f>'[5]4.5'!D19</f>
        <v>493</v>
      </c>
      <c r="E19" s="82">
        <f>'[5]4.5'!E19</f>
        <v>1085</v>
      </c>
      <c r="F19" s="82">
        <f>'[5]4.5'!F19</f>
        <v>1266</v>
      </c>
      <c r="G19" s="82">
        <f>'[5]4.5'!G19</f>
        <v>1077</v>
      </c>
      <c r="H19" s="82">
        <f>'[5]4.5'!H19</f>
        <v>1028</v>
      </c>
      <c r="I19" s="82"/>
      <c r="J19" s="103"/>
      <c r="L19" s="2"/>
    </row>
    <row r="20" spans="1:13" x14ac:dyDescent="0.2">
      <c r="A20" t="str">
        <f t="shared" si="2"/>
        <v>2015</v>
      </c>
      <c r="B20" s="25"/>
      <c r="C20" s="82">
        <f>'[5]4.5'!C20</f>
        <v>973</v>
      </c>
      <c r="D20" s="82">
        <f>'[5]4.5'!D20</f>
        <v>1818</v>
      </c>
      <c r="E20" s="82">
        <f>'[5]4.5'!E20</f>
        <v>2355</v>
      </c>
      <c r="F20" s="82">
        <f>'[5]4.5'!F20</f>
        <v>2749</v>
      </c>
      <c r="G20" s="82">
        <f>'[5]4.5'!G20</f>
        <v>2944</v>
      </c>
      <c r="H20" s="82"/>
      <c r="I20" s="82"/>
      <c r="J20" s="103"/>
      <c r="L20" s="2"/>
    </row>
    <row r="21" spans="1:13" x14ac:dyDescent="0.2">
      <c r="A21" t="str">
        <f t="shared" si="2"/>
        <v>2016</v>
      </c>
      <c r="B21" s="25"/>
      <c r="C21" s="82">
        <f>'[5]4.5'!C21</f>
        <v>412</v>
      </c>
      <c r="D21" s="82">
        <f>'[5]4.5'!D21</f>
        <v>678</v>
      </c>
      <c r="E21" s="82">
        <f>'[5]4.5'!E21</f>
        <v>746</v>
      </c>
      <c r="F21" s="82">
        <f>'[5]4.5'!F21</f>
        <v>571</v>
      </c>
      <c r="G21" s="82"/>
      <c r="H21" s="82"/>
      <c r="I21" s="82"/>
      <c r="J21" s="103"/>
      <c r="L21" s="2"/>
    </row>
    <row r="22" spans="1:13" x14ac:dyDescent="0.2">
      <c r="A22" t="str">
        <f t="shared" si="2"/>
        <v>2017</v>
      </c>
      <c r="B22" s="25"/>
      <c r="C22" s="82">
        <f>'[5]4.5'!C22</f>
        <v>891</v>
      </c>
      <c r="D22" s="82">
        <f>'[5]4.5'!D22</f>
        <v>16490</v>
      </c>
      <c r="E22" s="82">
        <f>'[5]4.5'!E22</f>
        <v>21865</v>
      </c>
      <c r="F22" s="82"/>
      <c r="G22" s="82"/>
      <c r="H22" s="82"/>
      <c r="I22" s="82"/>
      <c r="J22" s="103"/>
      <c r="L22" s="2"/>
      <c r="M22" t="s">
        <v>219</v>
      </c>
    </row>
    <row r="23" spans="1:13" x14ac:dyDescent="0.2">
      <c r="A23" s="50" t="str">
        <f t="shared" si="2"/>
        <v>2018</v>
      </c>
      <c r="B23" s="51"/>
      <c r="C23" s="82">
        <f>'[5]4.5'!C23</f>
        <v>301</v>
      </c>
      <c r="D23" s="82">
        <f>'[5]4.5'!D23</f>
        <v>361</v>
      </c>
      <c r="E23" s="82"/>
      <c r="F23" s="82"/>
      <c r="G23" s="82"/>
      <c r="H23" s="82"/>
      <c r="I23" s="82"/>
      <c r="J23" s="103"/>
      <c r="L23" s="2"/>
      <c r="M23" s="85">
        <f>'[5]4.5'!$L$23</f>
        <v>43830</v>
      </c>
    </row>
    <row r="24" spans="1:13" x14ac:dyDescent="0.2">
      <c r="A24" s="50" t="str">
        <f>TEXT(YEAR($M$23),"#")</f>
        <v>2019</v>
      </c>
      <c r="B24" s="51"/>
      <c r="C24" s="82">
        <f>'[5]4.5'!C24</f>
        <v>48</v>
      </c>
      <c r="D24" s="82"/>
      <c r="E24" s="82"/>
      <c r="F24" s="82"/>
      <c r="G24" s="82"/>
      <c r="H24" s="82"/>
      <c r="I24" s="82"/>
      <c r="J24" s="103"/>
      <c r="L24" s="2"/>
      <c r="M24" s="85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J25" s="50"/>
      <c r="L25" s="2"/>
    </row>
    <row r="26" spans="1:13" x14ac:dyDescent="0.2">
      <c r="J26" s="50"/>
      <c r="L26" s="2"/>
    </row>
    <row r="27" spans="1:13" x14ac:dyDescent="0.2">
      <c r="B27" s="22"/>
      <c r="C27" s="24" t="s">
        <v>70</v>
      </c>
      <c r="J27" s="50"/>
      <c r="L27" s="2"/>
    </row>
    <row r="28" spans="1:13" x14ac:dyDescent="0.2">
      <c r="A28" t="s">
        <v>53</v>
      </c>
      <c r="J28" s="50"/>
      <c r="L28" s="2"/>
    </row>
    <row r="29" spans="1:13" x14ac:dyDescent="0.2">
      <c r="A29" s="9" t="s">
        <v>54</v>
      </c>
      <c r="B29" s="9"/>
      <c r="C29" s="9" t="str">
        <f t="shared" ref="C29:H29" si="3">C11&amp;" - "&amp;D11</f>
        <v>12 - 24</v>
      </c>
      <c r="D29" s="9" t="str">
        <f t="shared" si="3"/>
        <v>24 - 36</v>
      </c>
      <c r="E29" s="9" t="str">
        <f t="shared" si="3"/>
        <v>36 - 48</v>
      </c>
      <c r="F29" s="9" t="str">
        <f t="shared" si="3"/>
        <v>48 - 60</v>
      </c>
      <c r="G29" s="9" t="str">
        <f t="shared" si="3"/>
        <v>60 - 72</v>
      </c>
      <c r="H29" s="9" t="str">
        <f t="shared" si="3"/>
        <v>72 - 84</v>
      </c>
      <c r="I29" s="9" t="str">
        <f>I11&amp;" - Ult"</f>
        <v>84 - Ult</v>
      </c>
      <c r="J29" s="50"/>
      <c r="L29" s="2"/>
    </row>
    <row r="30" spans="1:13" x14ac:dyDescent="0.2">
      <c r="A30" s="13" t="str">
        <f>TEXT(COLUMN(),"(#)")</f>
        <v>(1)</v>
      </c>
      <c r="B30" s="13"/>
      <c r="C30" s="11" t="str">
        <f t="shared" ref="C30:I30" si="4">TEXT(COLUMN()-1,"(#)")</f>
        <v>(2)</v>
      </c>
      <c r="D30" s="11" t="str">
        <f t="shared" si="4"/>
        <v>(3)</v>
      </c>
      <c r="E30" s="11" t="str">
        <f t="shared" si="4"/>
        <v>(4)</v>
      </c>
      <c r="F30" s="11" t="str">
        <f t="shared" si="4"/>
        <v>(5)</v>
      </c>
      <c r="G30" s="11" t="str">
        <f t="shared" si="4"/>
        <v>(6)</v>
      </c>
      <c r="H30" s="11" t="str">
        <f t="shared" si="4"/>
        <v>(7)</v>
      </c>
      <c r="I30" s="11" t="str">
        <f t="shared" si="4"/>
        <v>(8)</v>
      </c>
      <c r="J30" s="117"/>
      <c r="L30" s="2"/>
    </row>
    <row r="31" spans="1:13" x14ac:dyDescent="0.2">
      <c r="J31" s="50"/>
      <c r="L31" s="2"/>
    </row>
    <row r="32" spans="1:13" x14ac:dyDescent="0.2">
      <c r="A32" t="str">
        <f t="shared" ref="A32:A41" si="5">A14</f>
        <v>2009</v>
      </c>
      <c r="B32" s="25"/>
      <c r="C32" s="39">
        <f t="shared" ref="C32:H40" si="6">IF(ISNUMBER(D14),D14/C14,"")</f>
        <v>4.894342194955692E-2</v>
      </c>
      <c r="D32" s="39">
        <f t="shared" si="6"/>
        <v>0.62952646239554322</v>
      </c>
      <c r="E32" s="39">
        <f t="shared" si="6"/>
        <v>1.0221238938053097</v>
      </c>
      <c r="F32" s="39">
        <f t="shared" si="6"/>
        <v>0.96536796536796532</v>
      </c>
      <c r="G32" s="39">
        <f t="shared" si="6"/>
        <v>1</v>
      </c>
      <c r="H32" s="39">
        <f t="shared" si="6"/>
        <v>1</v>
      </c>
      <c r="I32" s="39" t="str">
        <f>IF(ISNUMBER(#REF!),#REF!/I14,"")</f>
        <v/>
      </c>
      <c r="J32" s="164"/>
      <c r="L32" s="2"/>
    </row>
    <row r="33" spans="1:12" x14ac:dyDescent="0.2">
      <c r="A33" t="str">
        <f t="shared" si="5"/>
        <v>2010</v>
      </c>
      <c r="B33" s="25"/>
      <c r="C33" s="39">
        <f t="shared" si="6"/>
        <v>0.79795396419437337</v>
      </c>
      <c r="D33" s="39">
        <f t="shared" si="6"/>
        <v>1.0320512820512822</v>
      </c>
      <c r="E33" s="39">
        <f t="shared" si="6"/>
        <v>0.98136645962732916</v>
      </c>
      <c r="F33" s="39">
        <f t="shared" si="6"/>
        <v>1.0601265822784811</v>
      </c>
      <c r="G33" s="39">
        <f t="shared" si="6"/>
        <v>0.96716417910447761</v>
      </c>
      <c r="H33" s="39">
        <f t="shared" si="6"/>
        <v>0.99691358024691357</v>
      </c>
      <c r="I33" s="39" t="str">
        <f>IF(ISNUMBER(#REF!),#REF!/I15,"")</f>
        <v/>
      </c>
      <c r="J33" s="164"/>
      <c r="L33" s="2"/>
    </row>
    <row r="34" spans="1:12" x14ac:dyDescent="0.2">
      <c r="A34" t="str">
        <f t="shared" si="5"/>
        <v>2011</v>
      </c>
      <c r="B34" s="25"/>
      <c r="C34" s="39">
        <f t="shared" si="6"/>
        <v>1.149514563106796</v>
      </c>
      <c r="D34" s="39">
        <f t="shared" si="6"/>
        <v>1.0287162162162162</v>
      </c>
      <c r="E34" s="39">
        <f t="shared" si="6"/>
        <v>1.1198686371100164</v>
      </c>
      <c r="F34" s="39">
        <f t="shared" si="6"/>
        <v>0.92228739002932547</v>
      </c>
      <c r="G34" s="39">
        <f t="shared" si="6"/>
        <v>1.1844197138314785</v>
      </c>
      <c r="H34" s="39">
        <f t="shared" si="6"/>
        <v>0.97315436241610742</v>
      </c>
      <c r="I34" s="39" t="str">
        <f>IF(ISNUMBER(#REF!),#REF!/I16,"")</f>
        <v/>
      </c>
      <c r="J34" s="164"/>
      <c r="L34" s="2"/>
    </row>
    <row r="35" spans="1:12" x14ac:dyDescent="0.2">
      <c r="A35" t="str">
        <f t="shared" si="5"/>
        <v>2012</v>
      </c>
      <c r="B35" s="25"/>
      <c r="C35" s="39">
        <f t="shared" si="6"/>
        <v>1.3158914728682169</v>
      </c>
      <c r="D35" s="39">
        <f t="shared" si="6"/>
        <v>1.0589101620029455</v>
      </c>
      <c r="E35" s="39">
        <f t="shared" si="6"/>
        <v>0.87899860917941586</v>
      </c>
      <c r="F35" s="39">
        <f t="shared" si="6"/>
        <v>1.4509493670886076</v>
      </c>
      <c r="G35" s="39">
        <f t="shared" si="6"/>
        <v>0.95965103598691381</v>
      </c>
      <c r="H35" s="39">
        <f t="shared" si="6"/>
        <v>0.98977272727272725</v>
      </c>
      <c r="I35" s="39" t="str">
        <f>IF(ISNUMBER(#REF!),#REF!/I17,"")</f>
        <v/>
      </c>
      <c r="J35" s="164"/>
      <c r="L35" s="2"/>
    </row>
    <row r="36" spans="1:12" x14ac:dyDescent="0.2">
      <c r="A36" t="str">
        <f t="shared" si="5"/>
        <v>2013</v>
      </c>
      <c r="B36" s="25"/>
      <c r="C36" s="39">
        <f t="shared" si="6"/>
        <v>1.0049875311720697</v>
      </c>
      <c r="D36" s="39">
        <f t="shared" si="6"/>
        <v>0.88709677419354838</v>
      </c>
      <c r="E36" s="39">
        <f t="shared" si="6"/>
        <v>1.523076923076923</v>
      </c>
      <c r="F36" s="39">
        <f t="shared" si="6"/>
        <v>0.91000918273645548</v>
      </c>
      <c r="G36" s="39">
        <f t="shared" si="6"/>
        <v>0.97981836528758826</v>
      </c>
      <c r="H36" s="39">
        <f t="shared" si="6"/>
        <v>0.92790937178166844</v>
      </c>
      <c r="I36" s="39" t="str">
        <f>IF(ISNUMBER(#REF!),#REF!/I18,"")</f>
        <v/>
      </c>
      <c r="J36" s="164"/>
      <c r="L36" s="2"/>
    </row>
    <row r="37" spans="1:12" x14ac:dyDescent="0.2">
      <c r="A37" t="str">
        <f t="shared" si="5"/>
        <v>2014</v>
      </c>
      <c r="B37" s="25"/>
      <c r="C37" s="39">
        <f t="shared" si="6"/>
        <v>0.95542635658914732</v>
      </c>
      <c r="D37" s="39">
        <f t="shared" si="6"/>
        <v>2.2008113590263694</v>
      </c>
      <c r="E37" s="39">
        <f t="shared" si="6"/>
        <v>1.1668202764976958</v>
      </c>
      <c r="F37" s="39">
        <f t="shared" si="6"/>
        <v>0.85071090047393361</v>
      </c>
      <c r="G37" s="39">
        <f t="shared" si="6"/>
        <v>0.95450324976787371</v>
      </c>
      <c r="H37" s="39" t="str">
        <f t="shared" si="6"/>
        <v/>
      </c>
      <c r="I37" s="39" t="str">
        <f>IF(ISNUMBER(#REF!),#REF!/I19,"")</f>
        <v/>
      </c>
      <c r="J37" s="164"/>
      <c r="L37" s="2"/>
    </row>
    <row r="38" spans="1:12" x14ac:dyDescent="0.2">
      <c r="A38" t="str">
        <f t="shared" si="5"/>
        <v>2015</v>
      </c>
      <c r="B38" s="25"/>
      <c r="C38" s="39">
        <f t="shared" si="6"/>
        <v>1.868448098663926</v>
      </c>
      <c r="D38" s="39">
        <f t="shared" si="6"/>
        <v>1.2953795379537953</v>
      </c>
      <c r="E38" s="39">
        <f t="shared" si="6"/>
        <v>1.1673036093418259</v>
      </c>
      <c r="F38" s="39">
        <f t="shared" si="6"/>
        <v>1.0709348854128775</v>
      </c>
      <c r="G38" s="39" t="str">
        <f t="shared" si="6"/>
        <v/>
      </c>
      <c r="H38" s="39" t="str">
        <f t="shared" si="6"/>
        <v/>
      </c>
      <c r="I38" s="39" t="str">
        <f>IF(ISNUMBER(#REF!),#REF!/I20,"")</f>
        <v/>
      </c>
      <c r="J38" s="164"/>
      <c r="L38" s="2"/>
    </row>
    <row r="39" spans="1:12" x14ac:dyDescent="0.2">
      <c r="A39" t="str">
        <f t="shared" si="5"/>
        <v>2016</v>
      </c>
      <c r="B39" s="25"/>
      <c r="C39" s="39">
        <f t="shared" si="6"/>
        <v>1.645631067961165</v>
      </c>
      <c r="D39" s="39">
        <f t="shared" si="6"/>
        <v>1.1002949852507375</v>
      </c>
      <c r="E39" s="39">
        <f t="shared" si="6"/>
        <v>0.76541554959785518</v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IF(ISNUMBER(#REF!),#REF!/I21,"")</f>
        <v/>
      </c>
      <c r="J39" s="164"/>
      <c r="L39" s="2"/>
    </row>
    <row r="40" spans="1:12" x14ac:dyDescent="0.2">
      <c r="A40" s="50" t="str">
        <f t="shared" si="5"/>
        <v>2017</v>
      </c>
      <c r="B40" s="51"/>
      <c r="C40" s="164">
        <f t="shared" si="6"/>
        <v>18.50729517396184</v>
      </c>
      <c r="D40" s="164">
        <f t="shared" si="6"/>
        <v>1.3259551243177683</v>
      </c>
      <c r="E40" s="164" t="str">
        <f t="shared" si="6"/>
        <v/>
      </c>
      <c r="F40" s="164" t="str">
        <f t="shared" si="6"/>
        <v/>
      </c>
      <c r="G40" s="164" t="str">
        <f t="shared" si="6"/>
        <v/>
      </c>
      <c r="H40" s="164" t="str">
        <f t="shared" si="6"/>
        <v/>
      </c>
      <c r="I40" s="164" t="str">
        <f>IF(ISNUMBER(#REF!),#REF!/I22,"")</f>
        <v/>
      </c>
      <c r="J40" s="164"/>
      <c r="L40" s="2"/>
    </row>
    <row r="41" spans="1:12" x14ac:dyDescent="0.2">
      <c r="A41" s="50" t="str">
        <f t="shared" si="5"/>
        <v>2018</v>
      </c>
      <c r="B41" s="51"/>
      <c r="C41" s="164">
        <f>IF(ISNUMBER(D23),D23/C23,"")</f>
        <v>1.1993355481727574</v>
      </c>
      <c r="D41" s="164"/>
      <c r="E41" s="164"/>
      <c r="F41" s="164"/>
      <c r="G41" s="164"/>
      <c r="H41" s="164"/>
      <c r="I41" s="164"/>
      <c r="J41" s="164"/>
      <c r="L41" s="2"/>
    </row>
    <row r="42" spans="1:12" x14ac:dyDescent="0.2">
      <c r="A42" s="9"/>
      <c r="B42" s="26"/>
      <c r="C42" s="40"/>
      <c r="D42" s="40"/>
      <c r="E42" s="40"/>
      <c r="F42" s="40"/>
      <c r="G42" s="40"/>
      <c r="H42" s="40"/>
      <c r="I42" s="40"/>
      <c r="J42" s="50"/>
      <c r="L42" s="2"/>
    </row>
    <row r="43" spans="1:12" x14ac:dyDescent="0.2">
      <c r="J43" s="165"/>
      <c r="L43" s="2"/>
    </row>
    <row r="44" spans="1:12" x14ac:dyDescent="0.2">
      <c r="A44" t="s">
        <v>71</v>
      </c>
      <c r="B44" s="25"/>
      <c r="C44" s="328">
        <f t="shared" ref="C44:H44" si="7">AVERAGE(C32:C41)</f>
        <v>2.8493427198639849</v>
      </c>
      <c r="D44" s="328">
        <f t="shared" si="7"/>
        <v>1.1731935448231341</v>
      </c>
      <c r="E44" s="328">
        <f t="shared" si="7"/>
        <v>1.0781217447795464</v>
      </c>
      <c r="F44" s="328">
        <f t="shared" si="7"/>
        <v>1.0329123247696639</v>
      </c>
      <c r="G44" s="328">
        <f t="shared" si="7"/>
        <v>1.0075927573297221</v>
      </c>
      <c r="H44" s="328">
        <f t="shared" si="7"/>
        <v>0.97755000834348338</v>
      </c>
      <c r="I44" s="328"/>
      <c r="J44" s="50"/>
      <c r="L44" s="2"/>
    </row>
    <row r="45" spans="1:12" x14ac:dyDescent="0.2">
      <c r="A45" t="s">
        <v>97</v>
      </c>
      <c r="B45" s="22"/>
      <c r="C45" s="328">
        <f t="shared" ref="C45:H45" si="8">(SUM(C32:C41)-MAX(C32:C41)-MIN(C32:C41))/(COUNT(C32:C41)-2)</f>
        <v>1.2421485753410566</v>
      </c>
      <c r="D45" s="328">
        <f t="shared" si="8"/>
        <v>1.104057725998042</v>
      </c>
      <c r="E45" s="328">
        <f t="shared" si="8"/>
        <v>1.0560802475935989</v>
      </c>
      <c r="F45" s="328">
        <f t="shared" si="8"/>
        <v>0.98574520116502118</v>
      </c>
      <c r="G45" s="328">
        <f t="shared" si="8"/>
        <v>0.97665839509474495</v>
      </c>
      <c r="H45" s="328">
        <f t="shared" si="8"/>
        <v>0.98661355664524952</v>
      </c>
      <c r="I45" s="328"/>
      <c r="J45" s="50"/>
      <c r="L45" s="2"/>
    </row>
    <row r="46" spans="1:12" x14ac:dyDescent="0.2">
      <c r="A46" t="s">
        <v>98</v>
      </c>
      <c r="C46" s="328">
        <f>AVERAGE(C39:C41)</f>
        <v>7.1174205966985875</v>
      </c>
      <c r="D46" s="328">
        <f>AVERAGE(D38:D40)</f>
        <v>1.240543215840767</v>
      </c>
      <c r="E46" s="328">
        <f>AVERAGE(E37:E39)</f>
        <v>1.0331798118124589</v>
      </c>
      <c r="F46" s="328">
        <f>AVERAGE(F36:F38)</f>
        <v>0.94388498954108879</v>
      </c>
      <c r="G46" s="328">
        <f>AVERAGE(G35:G37)</f>
        <v>0.96465755034745859</v>
      </c>
      <c r="H46" s="328">
        <f>AVERAGE(H34:H36)</f>
        <v>0.96361215382350096</v>
      </c>
      <c r="I46" s="328"/>
      <c r="J46" s="165"/>
      <c r="L46" s="2"/>
    </row>
    <row r="47" spans="1:12" x14ac:dyDescent="0.2">
      <c r="A47" t="s">
        <v>72</v>
      </c>
      <c r="B47" s="25"/>
      <c r="C47" s="328">
        <f>AVERAGE(C37:C41)</f>
        <v>4.8352272490697672</v>
      </c>
      <c r="D47" s="328">
        <f>AVERAGE(D36:D40)</f>
        <v>1.3619075561484437</v>
      </c>
      <c r="E47" s="328">
        <f>AVERAGE(E35:E39)</f>
        <v>1.1003229935387433</v>
      </c>
      <c r="F47" s="328">
        <f>AVERAGE(F34:F38)</f>
        <v>1.0409783451482399</v>
      </c>
      <c r="G47" s="328">
        <f>AVERAGE(G33:G37)</f>
        <v>1.0091113087956665</v>
      </c>
      <c r="H47" s="328">
        <f>AVERAGE(H32:H36)</f>
        <v>0.97755000834348338</v>
      </c>
      <c r="I47" s="328"/>
      <c r="J47" s="166"/>
      <c r="L47" s="2"/>
    </row>
    <row r="48" spans="1:12" x14ac:dyDescent="0.2">
      <c r="A48" s="60" t="s">
        <v>265</v>
      </c>
      <c r="B48" s="60"/>
      <c r="C48" s="329">
        <v>1.1499999999999999</v>
      </c>
      <c r="D48" s="329">
        <v>1.03</v>
      </c>
      <c r="E48" s="329">
        <v>1.151</v>
      </c>
      <c r="F48" s="329">
        <v>1.0369999999999999</v>
      </c>
      <c r="G48" s="329">
        <v>1.0009999999999999</v>
      </c>
      <c r="H48" s="329">
        <v>1.0069999999999999</v>
      </c>
      <c r="I48" s="329">
        <v>1</v>
      </c>
      <c r="J48" s="167"/>
      <c r="L48" s="2"/>
    </row>
    <row r="49" spans="1:12" x14ac:dyDescent="0.2">
      <c r="A49" t="s">
        <v>73</v>
      </c>
      <c r="C49" s="330">
        <f>'[5]4.5'!C48</f>
        <v>1.2</v>
      </c>
      <c r="D49" s="330">
        <f>'[5]4.5'!D48</f>
        <v>1.1000000000000001</v>
      </c>
      <c r="E49" s="330">
        <f>'[5]4.5'!E48</f>
        <v>1.0840000000000001</v>
      </c>
      <c r="F49" s="330">
        <f>'[5]4.5'!F48</f>
        <v>1.008</v>
      </c>
      <c r="G49" s="330">
        <f>'[5]4.5'!G48</f>
        <v>0.99199999999999999</v>
      </c>
      <c r="H49" s="330">
        <f>'[5]4.5'!H48</f>
        <v>0.98099999999999998</v>
      </c>
      <c r="I49" s="330">
        <f>'[5]4.5'!I48</f>
        <v>1</v>
      </c>
      <c r="J49" s="105"/>
      <c r="L49" s="2"/>
    </row>
    <row r="50" spans="1:12" x14ac:dyDescent="0.2">
      <c r="A50" t="s">
        <v>74</v>
      </c>
      <c r="C50" s="328">
        <f t="shared" ref="C50:H50" si="9">ROUND(C49*D50,3)</f>
        <v>1.403</v>
      </c>
      <c r="D50" s="328">
        <f t="shared" si="9"/>
        <v>1.169</v>
      </c>
      <c r="E50" s="328">
        <f t="shared" si="9"/>
        <v>1.0629999999999999</v>
      </c>
      <c r="F50" s="328">
        <f t="shared" si="9"/>
        <v>0.98099999999999998</v>
      </c>
      <c r="G50" s="328">
        <f t="shared" si="9"/>
        <v>0.97299999999999998</v>
      </c>
      <c r="H50" s="328">
        <f t="shared" si="9"/>
        <v>0.98099999999999998</v>
      </c>
      <c r="I50" s="328">
        <f>I49</f>
        <v>1</v>
      </c>
      <c r="J50" s="50"/>
      <c r="L50" s="2"/>
    </row>
    <row r="51" spans="1:12" ht="12" thickBot="1" x14ac:dyDescent="0.25">
      <c r="A51" s="6"/>
      <c r="B51" s="6"/>
      <c r="C51" s="6"/>
      <c r="D51" s="6"/>
      <c r="E51" s="6"/>
      <c r="F51" s="6"/>
      <c r="G51" s="6"/>
      <c r="H51" s="6"/>
      <c r="I51" s="6"/>
      <c r="J51" s="50"/>
      <c r="L51" s="2"/>
    </row>
    <row r="52" spans="1:12" ht="12" thickTop="1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J64" s="50"/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M71"/>
  <sheetViews>
    <sheetView showGridLines="0" workbookViewId="0">
      <selection activeCell="K17" sqref="K17"/>
    </sheetView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6" width="9.6640625" customWidth="1"/>
    <col min="7" max="7" width="11.1640625" customWidth="1"/>
    <col min="8" max="8" width="9.6640625" customWidth="1"/>
    <col min="9" max="10" width="11.33203125" customWidth="1"/>
    <col min="11" max="11" width="3.6640625" customWidth="1"/>
    <col min="13" max="13" width="2.33203125" customWidth="1"/>
  </cols>
  <sheetData>
    <row r="1" spans="1:12" x14ac:dyDescent="0.2">
      <c r="A1" s="8" t="s">
        <v>0</v>
      </c>
      <c r="B1" s="98"/>
      <c r="K1" s="7" t="s">
        <v>5</v>
      </c>
      <c r="L1" s="1"/>
    </row>
    <row r="2" spans="1:12" x14ac:dyDescent="0.2">
      <c r="A2" s="8" t="s">
        <v>1</v>
      </c>
      <c r="B2" s="98"/>
      <c r="H2" s="7"/>
      <c r="I2" s="7"/>
      <c r="J2" s="7"/>
      <c r="K2" s="131"/>
      <c r="L2" s="2"/>
    </row>
    <row r="3" spans="1:12" x14ac:dyDescent="0.2">
      <c r="A3" s="8" t="s">
        <v>2</v>
      </c>
      <c r="B3" s="98"/>
      <c r="L3" s="2"/>
    </row>
    <row r="4" spans="1:12" x14ac:dyDescent="0.2">
      <c r="A4" t="s">
        <v>3</v>
      </c>
      <c r="B4" s="98"/>
      <c r="L4" s="2"/>
    </row>
    <row r="5" spans="1:12" x14ac:dyDescent="0.2">
      <c r="A5" t="s">
        <v>4</v>
      </c>
      <c r="B5" s="98"/>
      <c r="L5" s="2"/>
    </row>
    <row r="6" spans="1:12" x14ac:dyDescent="0.2">
      <c r="L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K7" s="50"/>
      <c r="L7" s="2"/>
    </row>
    <row r="8" spans="1:12" ht="12" thickTop="1" x14ac:dyDescent="0.2">
      <c r="L8" s="2"/>
    </row>
    <row r="9" spans="1:12" x14ac:dyDescent="0.2">
      <c r="C9" s="10" t="s">
        <v>7</v>
      </c>
      <c r="H9" t="s">
        <v>13</v>
      </c>
      <c r="I9" t="s">
        <v>302</v>
      </c>
      <c r="L9" s="2"/>
    </row>
    <row r="10" spans="1:12" x14ac:dyDescent="0.2">
      <c r="E10" t="s">
        <v>225</v>
      </c>
      <c r="G10" t="s">
        <v>10</v>
      </c>
      <c r="H10" t="s">
        <v>14</v>
      </c>
      <c r="I10" t="s">
        <v>14</v>
      </c>
      <c r="L10" s="2"/>
    </row>
    <row r="11" spans="1:12" x14ac:dyDescent="0.2">
      <c r="A11" s="9" t="s">
        <v>16</v>
      </c>
      <c r="B11" s="9"/>
      <c r="C11" s="9" t="s">
        <v>6</v>
      </c>
      <c r="D11" s="9" t="s">
        <v>8</v>
      </c>
      <c r="E11" s="9" t="s">
        <v>226</v>
      </c>
      <c r="F11" s="9" t="s">
        <v>9</v>
      </c>
      <c r="G11" s="9" t="s">
        <v>227</v>
      </c>
      <c r="H11" s="9" t="s">
        <v>15</v>
      </c>
      <c r="I11" s="9" t="s">
        <v>15</v>
      </c>
      <c r="J11" s="50"/>
      <c r="K11" s="50"/>
      <c r="L11" s="2"/>
    </row>
    <row r="12" spans="1:12" x14ac:dyDescent="0.2">
      <c r="A12" s="13" t="str">
        <f>TEXT(COLUMN(),"(#)")</f>
        <v>(1)</v>
      </c>
      <c r="B12" s="13"/>
      <c r="C12" s="11" t="str">
        <f t="shared" ref="C12:I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/>
      <c r="K12" s="11"/>
      <c r="L12" s="2"/>
    </row>
    <row r="13" spans="1:12" x14ac:dyDescent="0.2">
      <c r="L13" s="2"/>
    </row>
    <row r="14" spans="1:12" x14ac:dyDescent="0.2">
      <c r="L14" s="2"/>
    </row>
    <row r="15" spans="1:12" x14ac:dyDescent="0.2">
      <c r="B15" t="s">
        <v>301</v>
      </c>
      <c r="C15" s="20">
        <f>AVERAGE(AVERAGE(C21:C23),C19)</f>
        <v>0.48849999999999993</v>
      </c>
      <c r="D15" s="23">
        <f>D$19</f>
        <v>0.14599999999999999</v>
      </c>
      <c r="E15" s="23">
        <f>E$19</f>
        <v>0.47743946022948658</v>
      </c>
      <c r="F15" s="18">
        <f>C15+D15+E15</f>
        <v>1.1119394602294865</v>
      </c>
      <c r="G15" s="23">
        <f>G$19</f>
        <v>0.77099999999999991</v>
      </c>
      <c r="H15" s="293">
        <f>ROUND(F15/G15-1,2)</f>
        <v>0.44</v>
      </c>
      <c r="I15" s="194"/>
      <c r="L15" s="2"/>
    </row>
    <row r="16" spans="1:12" x14ac:dyDescent="0.2">
      <c r="A16" s="9"/>
      <c r="B16" s="187"/>
      <c r="C16" s="87"/>
      <c r="D16" s="87"/>
      <c r="E16" s="87"/>
      <c r="F16" s="188"/>
      <c r="G16" s="87"/>
      <c r="H16" s="189"/>
      <c r="I16" s="189"/>
      <c r="J16" s="16"/>
      <c r="K16" s="16"/>
      <c r="L16" s="2"/>
    </row>
    <row r="17" spans="1:13" x14ac:dyDescent="0.2">
      <c r="C17" s="12"/>
      <c r="D17" s="22"/>
      <c r="L17" s="2"/>
    </row>
    <row r="18" spans="1:13" x14ac:dyDescent="0.2">
      <c r="C18" s="18"/>
      <c r="D18" s="23"/>
      <c r="E18" s="14"/>
      <c r="F18" s="14"/>
      <c r="G18" s="14"/>
      <c r="H18" s="15"/>
      <c r="I18" s="15"/>
      <c r="J18" s="15"/>
      <c r="K18" s="15"/>
      <c r="L18" s="2"/>
    </row>
    <row r="19" spans="1:13" x14ac:dyDescent="0.2">
      <c r="B19" t="s">
        <v>277</v>
      </c>
      <c r="C19" s="23">
        <f>'5'!$E$14</f>
        <v>0.42599999999999999</v>
      </c>
      <c r="D19" s="23">
        <f>'2.1'!$E$19</f>
        <v>0.14599999999999999</v>
      </c>
      <c r="E19" s="23">
        <f>'11.1'!$G$42</f>
        <v>0.47743946022948658</v>
      </c>
      <c r="F19" s="18">
        <f>C19+D19+E19</f>
        <v>1.0494394602294865</v>
      </c>
      <c r="G19" s="23">
        <f>'11.1'!$G$48</f>
        <v>0.77099999999999991</v>
      </c>
      <c r="H19" s="16">
        <f>ROUND(F19/G19-1,2)</f>
        <v>0.36</v>
      </c>
      <c r="I19" s="16"/>
      <c r="J19" s="16"/>
      <c r="K19" s="16"/>
      <c r="L19" s="2"/>
    </row>
    <row r="20" spans="1:13" x14ac:dyDescent="0.2">
      <c r="C20" s="12"/>
      <c r="D20" s="22"/>
      <c r="L20" s="2"/>
    </row>
    <row r="21" spans="1:13" x14ac:dyDescent="0.2">
      <c r="B21" t="s">
        <v>369</v>
      </c>
      <c r="C21" s="23">
        <f>'5'!$E$17</f>
        <v>0.60499999999999998</v>
      </c>
      <c r="D21" s="23">
        <f>D$19</f>
        <v>0.14599999999999999</v>
      </c>
      <c r="E21" s="23">
        <f>E$19</f>
        <v>0.47743946022948658</v>
      </c>
      <c r="F21" s="18">
        <f>C21+D21+E21</f>
        <v>1.2284394602294866</v>
      </c>
      <c r="G21" s="23">
        <f>G$19</f>
        <v>0.77099999999999991</v>
      </c>
      <c r="H21" s="16">
        <f>ROUND(F21/G21-1,2)</f>
        <v>0.59</v>
      </c>
      <c r="I21" s="16"/>
      <c r="J21" s="16"/>
      <c r="K21" s="16"/>
      <c r="L21" s="2"/>
    </row>
    <row r="22" spans="1:13" x14ac:dyDescent="0.2">
      <c r="C22" s="23"/>
      <c r="D22" s="23"/>
      <c r="E22" s="23"/>
      <c r="F22" s="18"/>
      <c r="G22" s="23"/>
      <c r="H22" s="16"/>
      <c r="I22" s="16"/>
      <c r="J22" s="16"/>
      <c r="K22" s="16"/>
      <c r="L22" s="2"/>
    </row>
    <row r="23" spans="1:13" x14ac:dyDescent="0.2">
      <c r="B23" t="s">
        <v>368</v>
      </c>
      <c r="C23" s="20">
        <f>'5'!E18</f>
        <v>0.497</v>
      </c>
      <c r="D23" s="20">
        <f>D19</f>
        <v>0.14599999999999999</v>
      </c>
      <c r="E23" s="20">
        <f>E21</f>
        <v>0.47743946022948658</v>
      </c>
      <c r="F23" s="18">
        <f t="shared" ref="F23" si="1">C23+D23+E23</f>
        <v>1.1204394602294867</v>
      </c>
      <c r="G23" s="20">
        <f>G21</f>
        <v>0.77099999999999991</v>
      </c>
      <c r="H23" s="16">
        <f t="shared" ref="H23" si="2">ROUND(F23/G23-1,2)</f>
        <v>0.45</v>
      </c>
      <c r="L23" s="2"/>
    </row>
    <row r="24" spans="1:13" x14ac:dyDescent="0.2">
      <c r="C24" s="20"/>
      <c r="D24" s="20"/>
      <c r="E24" s="20"/>
      <c r="F24" s="18"/>
      <c r="G24" s="20"/>
      <c r="H24" s="16"/>
      <c r="L24" s="2"/>
    </row>
    <row r="25" spans="1:13" ht="12" thickBot="1" x14ac:dyDescent="0.25">
      <c r="A25" s="6"/>
      <c r="B25" s="6" t="s">
        <v>441</v>
      </c>
      <c r="C25" s="337">
        <f>AVERAGE(C21,C23)</f>
        <v>0.55099999999999993</v>
      </c>
      <c r="D25" s="337">
        <f>D23</f>
        <v>0.14599999999999999</v>
      </c>
      <c r="E25" s="337">
        <f>E23</f>
        <v>0.47743946022948658</v>
      </c>
      <c r="F25" s="337">
        <f>SUM(C25+D25+E25)</f>
        <v>1.1744394602294865</v>
      </c>
      <c r="G25" s="337">
        <f>G23</f>
        <v>0.77099999999999991</v>
      </c>
      <c r="H25" s="338">
        <f>F25/G25-1</f>
        <v>0.52326778239881544</v>
      </c>
      <c r="I25" s="6"/>
      <c r="J25" s="50"/>
      <c r="K25" s="50"/>
      <c r="L25" s="2"/>
    </row>
    <row r="26" spans="1:13" ht="12" thickTop="1" x14ac:dyDescent="0.2">
      <c r="L26" s="2"/>
    </row>
    <row r="27" spans="1:13" x14ac:dyDescent="0.2">
      <c r="A27" t="s">
        <v>17</v>
      </c>
      <c r="L27" s="2"/>
      <c r="M27" s="23"/>
    </row>
    <row r="28" spans="1:13" x14ac:dyDescent="0.2">
      <c r="B28" s="22" t="str">
        <f>C12&amp;" "&amp;'5'!$H$1</f>
        <v>(2) Exhibit 5</v>
      </c>
      <c r="L28" s="2"/>
      <c r="M28" s="12"/>
    </row>
    <row r="29" spans="1:13" x14ac:dyDescent="0.2">
      <c r="B29" s="22" t="str">
        <f>D12&amp;" "&amp;'2.1'!$J$1&amp;", "&amp;'2.1'!$J$2</f>
        <v>(3) Exhibit 2, Sheet 1</v>
      </c>
      <c r="L29" s="2"/>
    </row>
    <row r="30" spans="1:13" x14ac:dyDescent="0.2">
      <c r="B30" s="22" t="str">
        <f>E12&amp;" "&amp;'[2]11.1'!$J$1 &amp; ", "&amp; '[2]11.1'!$J$2</f>
        <v>(4) Exhibit 11, Sheet 1</v>
      </c>
      <c r="L30" s="2"/>
      <c r="M30" s="12"/>
    </row>
    <row r="31" spans="1:13" x14ac:dyDescent="0.2">
      <c r="B31" s="99" t="str">
        <f>F12&amp;" = "&amp;C12&amp;" + "&amp;D12&amp;" + "&amp;E12</f>
        <v>(5) = (2) + (3) + (4)</v>
      </c>
      <c r="L31" s="2"/>
    </row>
    <row r="32" spans="1:13" x14ac:dyDescent="0.2">
      <c r="B32" s="22" t="str">
        <f>G12&amp;" "&amp;'[2]11.1'!$J$1 &amp; ", "&amp; '[2]11.1'!$J$2</f>
        <v>(6) Exhibit 11, Sheet 1</v>
      </c>
      <c r="L32" s="2"/>
    </row>
    <row r="33" spans="2:13" x14ac:dyDescent="0.2">
      <c r="B33" s="98" t="str">
        <f>H12&amp;" = "&amp;F12&amp;" / "&amp;G12&amp;" - 1"</f>
        <v>(7) = (5) / (6) - 1</v>
      </c>
      <c r="L33" s="2"/>
    </row>
    <row r="34" spans="2:13" x14ac:dyDescent="0.2">
      <c r="B34" s="22" t="str">
        <f>I12&amp;" Selected"</f>
        <v>(8) Selected</v>
      </c>
      <c r="L34" s="2"/>
    </row>
    <row r="35" spans="2:13" x14ac:dyDescent="0.2">
      <c r="L35" s="2"/>
    </row>
    <row r="36" spans="2:13" x14ac:dyDescent="0.2">
      <c r="L36" s="2"/>
    </row>
    <row r="37" spans="2:13" x14ac:dyDescent="0.2">
      <c r="B37" s="23"/>
      <c r="C37" s="23"/>
      <c r="D37" s="23"/>
      <c r="E37" s="18"/>
      <c r="F37" s="23"/>
      <c r="G37" s="16"/>
      <c r="H37" s="16"/>
      <c r="I37" s="16"/>
      <c r="K37" s="16"/>
      <c r="L37" s="2"/>
      <c r="M37" s="155"/>
    </row>
    <row r="38" spans="2:13" x14ac:dyDescent="0.2">
      <c r="B38" s="12"/>
      <c r="C38" s="12"/>
      <c r="L38" s="2"/>
      <c r="M38" s="17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>
    <tabColor rgb="FF92D050"/>
  </sheetPr>
  <dimension ref="A1:I43"/>
  <sheetViews>
    <sheetView showGridLines="0" workbookViewId="0">
      <selection activeCell="G23" sqref="G23"/>
    </sheetView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100</v>
      </c>
      <c r="I1" s="1"/>
    </row>
    <row r="2" spans="1:9" x14ac:dyDescent="0.2">
      <c r="A2" s="8" t="str">
        <f>'1'!$A$2</f>
        <v>Residential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99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F7" s="45"/>
      <c r="G7" s="45"/>
      <c r="H7" s="45"/>
      <c r="I7" s="2"/>
    </row>
    <row r="8" spans="1:9" ht="12" thickTop="1" x14ac:dyDescent="0.2">
      <c r="F8" s="45"/>
      <c r="G8" s="45"/>
      <c r="H8" s="45"/>
      <c r="I8" s="2"/>
    </row>
    <row r="9" spans="1:9" x14ac:dyDescent="0.2">
      <c r="C9" s="12" t="s">
        <v>13</v>
      </c>
      <c r="E9" t="s">
        <v>13</v>
      </c>
      <c r="F9" s="45"/>
      <c r="G9" s="45"/>
      <c r="H9" s="45"/>
      <c r="I9" s="2"/>
    </row>
    <row r="10" spans="1:9" x14ac:dyDescent="0.2">
      <c r="C10" t="s">
        <v>41</v>
      </c>
      <c r="D10" t="s">
        <v>36</v>
      </c>
      <c r="E10" t="s">
        <v>11</v>
      </c>
      <c r="F10" s="45"/>
      <c r="G10" s="45"/>
      <c r="H10" s="45"/>
      <c r="I10" s="2"/>
    </row>
    <row r="11" spans="1:9" x14ac:dyDescent="0.2">
      <c r="A11" s="9" t="s">
        <v>101</v>
      </c>
      <c r="B11" s="9"/>
      <c r="C11" s="9" t="s">
        <v>12</v>
      </c>
      <c r="D11" s="9" t="s">
        <v>37</v>
      </c>
      <c r="E11" s="9" t="s">
        <v>12</v>
      </c>
      <c r="F11" s="45"/>
      <c r="G11" s="45"/>
      <c r="H11" s="45"/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G12" s="46"/>
      <c r="H12" s="46"/>
      <c r="I12" s="2"/>
    </row>
    <row r="13" spans="1:9" x14ac:dyDescent="0.2">
      <c r="F13" s="45"/>
      <c r="G13" s="45"/>
      <c r="H13" s="45"/>
      <c r="I13" s="2"/>
    </row>
    <row r="14" spans="1:9" x14ac:dyDescent="0.2">
      <c r="A14" s="60" t="s">
        <v>278</v>
      </c>
      <c r="C14" s="23">
        <f>'6.1'!$E$40</f>
        <v>0.37</v>
      </c>
      <c r="D14" s="55">
        <f>'4.1'!$E$57</f>
        <v>0.151</v>
      </c>
      <c r="E14" s="18">
        <f>ROUND(C14*(1+D14),3)</f>
        <v>0.42599999999999999</v>
      </c>
      <c r="F14" s="53"/>
      <c r="G14" s="53"/>
      <c r="H14" s="54"/>
      <c r="I14" s="2"/>
    </row>
    <row r="15" spans="1:9" x14ac:dyDescent="0.2">
      <c r="C15" s="23"/>
      <c r="D15" s="23"/>
      <c r="E15" s="23"/>
      <c r="F15" s="53"/>
      <c r="G15" s="53"/>
      <c r="H15" s="54"/>
      <c r="I15" s="2"/>
    </row>
    <row r="16" spans="1:9" x14ac:dyDescent="0.2">
      <c r="A16" s="10" t="s">
        <v>102</v>
      </c>
      <c r="C16" s="23"/>
      <c r="D16" s="23"/>
      <c r="E16" s="23"/>
      <c r="F16" s="53"/>
      <c r="G16" s="53"/>
      <c r="H16" s="54"/>
      <c r="I16" s="2"/>
    </row>
    <row r="17" spans="1:9" x14ac:dyDescent="0.2">
      <c r="B17" t="s">
        <v>103</v>
      </c>
      <c r="C17" s="23">
        <f>'7.1'!$E$34</f>
        <v>0.52600000000000002</v>
      </c>
      <c r="D17" s="55">
        <f>D$14</f>
        <v>0.151</v>
      </c>
      <c r="E17" s="18">
        <f>ROUND(C17*(1+D17),3)</f>
        <v>0.60499999999999998</v>
      </c>
      <c r="F17" s="45"/>
      <c r="G17" s="45"/>
      <c r="H17" s="45"/>
      <c r="I17" s="2"/>
    </row>
    <row r="18" spans="1:9" x14ac:dyDescent="0.2">
      <c r="B18" t="s">
        <v>104</v>
      </c>
      <c r="C18" s="23">
        <f>'8.1'!$E$34</f>
        <v>0.432</v>
      </c>
      <c r="D18" s="55">
        <f>D$14</f>
        <v>0.151</v>
      </c>
      <c r="E18" s="18">
        <f>ROUND(C18*(1+D18),3)</f>
        <v>0.497</v>
      </c>
      <c r="F18" s="45"/>
      <c r="G18" s="45"/>
      <c r="H18" s="45"/>
      <c r="I18" s="2"/>
    </row>
    <row r="19" spans="1:9" x14ac:dyDescent="0.2">
      <c r="F19" s="45"/>
      <c r="G19" s="45"/>
      <c r="H19" s="45"/>
      <c r="I19" s="2"/>
    </row>
    <row r="20" spans="1:9" x14ac:dyDescent="0.2">
      <c r="B20" t="s">
        <v>105</v>
      </c>
      <c r="C20" s="20">
        <f>ROUND(AVERAGE(C17:C18),3)</f>
        <v>0.47899999999999998</v>
      </c>
      <c r="D20" s="55">
        <f>D$14</f>
        <v>0.151</v>
      </c>
      <c r="E20" s="18">
        <f>ROUND(C20*(1+D20),3)</f>
        <v>0.55100000000000005</v>
      </c>
      <c r="F20" s="45"/>
      <c r="G20" s="45"/>
      <c r="H20" s="45"/>
      <c r="I20" s="2"/>
    </row>
    <row r="21" spans="1:9" ht="12" thickBot="1" x14ac:dyDescent="0.25">
      <c r="A21" s="6"/>
      <c r="B21" s="6"/>
      <c r="C21" s="6"/>
      <c r="D21" s="6"/>
      <c r="E21" s="6"/>
      <c r="I21" s="2"/>
    </row>
    <row r="22" spans="1:9" ht="12" thickTop="1" x14ac:dyDescent="0.2">
      <c r="I22" s="2"/>
    </row>
    <row r="23" spans="1:9" x14ac:dyDescent="0.2">
      <c r="A23" t="s">
        <v>17</v>
      </c>
      <c r="I23" s="2"/>
    </row>
    <row r="24" spans="1:9" x14ac:dyDescent="0.2">
      <c r="B24" s="22" t="str">
        <f>C12&amp;" "&amp;'6.1'!$K$1&amp;" - "&amp;'8.1'!$K$1&amp;", "&amp;'6.1'!$K$2</f>
        <v>(2) Exhibit 6 - Exhibit 8, Sheet 1</v>
      </c>
      <c r="I24" s="2"/>
    </row>
    <row r="25" spans="1:9" x14ac:dyDescent="0.2">
      <c r="B25" s="22" t="str">
        <f>D12&amp;" "&amp;'4.1'!$J$1&amp;", "&amp;'4.1'!$J$2</f>
        <v>(3) Exhibit 4, Sheet 1</v>
      </c>
      <c r="I25" s="2"/>
    </row>
    <row r="26" spans="1:9" x14ac:dyDescent="0.2">
      <c r="B26" s="12" t="str">
        <f>E12&amp;" = "&amp;C12&amp;" * [1 + "&amp;D12&amp;"]"</f>
        <v>(4) = (2) * [1 + (3)]</v>
      </c>
      <c r="I26" s="2"/>
    </row>
    <row r="27" spans="1:9" x14ac:dyDescent="0.2">
      <c r="B27" s="22"/>
      <c r="I27" s="2"/>
    </row>
    <row r="28" spans="1:9" x14ac:dyDescent="0.2">
      <c r="B28" s="22"/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x14ac:dyDescent="0.2">
      <c r="I34" s="2"/>
    </row>
    <row r="35" spans="1:9" x14ac:dyDescent="0.2">
      <c r="I35" s="2"/>
    </row>
    <row r="36" spans="1:9" x14ac:dyDescent="0.2">
      <c r="I36" s="2"/>
    </row>
    <row r="37" spans="1:9" x14ac:dyDescent="0.2">
      <c r="I37" s="2"/>
    </row>
    <row r="38" spans="1:9" x14ac:dyDescent="0.2">
      <c r="I38" s="2"/>
    </row>
    <row r="39" spans="1:9" x14ac:dyDescent="0.2">
      <c r="I39" s="2"/>
    </row>
    <row r="40" spans="1:9" x14ac:dyDescent="0.2">
      <c r="I40" s="2"/>
    </row>
    <row r="41" spans="1:9" x14ac:dyDescent="0.2">
      <c r="I41" s="2"/>
    </row>
    <row r="42" spans="1:9" ht="12" thickBot="1" x14ac:dyDescent="0.25">
      <c r="I42" s="2"/>
    </row>
    <row r="43" spans="1:9" ht="12" thickBot="1" x14ac:dyDescent="0.25">
      <c r="A43" s="4"/>
      <c r="B43" s="5"/>
      <c r="C43" s="5"/>
      <c r="D43" s="5"/>
      <c r="E43" s="5"/>
      <c r="F43" s="5"/>
      <c r="G43" s="5"/>
      <c r="H43" s="5"/>
      <c r="I4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rgb="FF92D050"/>
  </sheetPr>
  <dimension ref="A1:O58"/>
  <sheetViews>
    <sheetView showGridLines="0" workbookViewId="0">
      <selection activeCell="K45" sqref="K45"/>
    </sheetView>
  </sheetViews>
  <sheetFormatPr defaultColWidth="11.33203125" defaultRowHeight="11.25" x14ac:dyDescent="0.2"/>
  <cols>
    <col min="1" max="1" width="6.1640625" customWidth="1"/>
    <col min="2" max="2" width="11.33203125" customWidth="1"/>
    <col min="3" max="3" width="15.33203125" customWidth="1"/>
    <col min="4" max="4" width="22.1640625" customWidth="1"/>
    <col min="5" max="5" width="15.33203125" customWidth="1"/>
    <col min="6" max="6" width="13.83203125" customWidth="1"/>
    <col min="7" max="7" width="11.33203125" customWidth="1"/>
    <col min="8" max="8" width="11.33203125" hidden="1" customWidth="1"/>
    <col min="9" max="10" width="11.33203125" customWidth="1"/>
    <col min="11" max="11" width="2.6640625" customWidth="1"/>
  </cols>
  <sheetData>
    <row r="1" spans="1:15" x14ac:dyDescent="0.2">
      <c r="A1" s="8" t="str">
        <f>'1'!$A$1</f>
        <v>Texas Windstorm Insurance Association</v>
      </c>
      <c r="B1" s="12"/>
      <c r="K1" s="7" t="s">
        <v>106</v>
      </c>
      <c r="L1" s="1"/>
    </row>
    <row r="2" spans="1:15" x14ac:dyDescent="0.2">
      <c r="A2" s="8" t="str">
        <f>'1'!$A$2</f>
        <v>Residential Property - Wind &amp; Hail</v>
      </c>
      <c r="B2" s="12"/>
      <c r="K2" s="7" t="s">
        <v>21</v>
      </c>
      <c r="L2" s="2"/>
    </row>
    <row r="3" spans="1:15" x14ac:dyDescent="0.2">
      <c r="A3" s="8" t="str">
        <f>'1'!$A$3</f>
        <v>Rate Level Review</v>
      </c>
      <c r="B3" s="12"/>
      <c r="L3" s="2"/>
    </row>
    <row r="4" spans="1:15" x14ac:dyDescent="0.2">
      <c r="A4" t="s">
        <v>107</v>
      </c>
      <c r="B4" s="12"/>
      <c r="E4" s="50"/>
      <c r="F4" s="50"/>
      <c r="L4" s="2"/>
      <c r="M4" s="11" t="s">
        <v>115</v>
      </c>
      <c r="N4" s="11" t="s">
        <v>116</v>
      </c>
      <c r="O4" s="11" t="s">
        <v>119</v>
      </c>
    </row>
    <row r="5" spans="1:15" x14ac:dyDescent="0.2">
      <c r="A5" t="str">
        <f>$M$5&amp;" - "&amp;$N$5&amp;" -- Hurricane Years Only"</f>
        <v>1966 - 2019 -- Hurricane Years Only</v>
      </c>
      <c r="B5" s="12"/>
      <c r="E5" s="50"/>
      <c r="F5" s="50"/>
      <c r="L5" s="2"/>
      <c r="M5" s="236">
        <v>1966</v>
      </c>
      <c r="N5" s="236">
        <v>2019</v>
      </c>
      <c r="O5" s="11">
        <f>N5-M5+1</f>
        <v>54</v>
      </c>
    </row>
    <row r="6" spans="1:15" x14ac:dyDescent="0.2">
      <c r="E6" s="50"/>
      <c r="F6" s="50"/>
      <c r="L6" s="2"/>
      <c r="M6" s="89"/>
      <c r="N6" s="80"/>
    </row>
    <row r="7" spans="1:15" ht="12" thickBot="1" x14ac:dyDescent="0.25">
      <c r="A7" s="6"/>
      <c r="B7" s="6"/>
      <c r="C7" s="6"/>
      <c r="D7" s="6"/>
      <c r="E7" s="6"/>
      <c r="F7" s="6"/>
      <c r="G7" s="50"/>
      <c r="H7" s="50"/>
      <c r="I7" s="50"/>
      <c r="L7" s="2"/>
    </row>
    <row r="8" spans="1:15" ht="12" thickTop="1" x14ac:dyDescent="0.2">
      <c r="E8" s="45"/>
      <c r="F8" s="45"/>
      <c r="L8" s="2"/>
    </row>
    <row r="9" spans="1:15" x14ac:dyDescent="0.2">
      <c r="C9" s="22" t="s">
        <v>44</v>
      </c>
      <c r="E9" s="7" t="s">
        <v>363</v>
      </c>
      <c r="F9" s="45"/>
      <c r="L9" s="2"/>
      <c r="M9" s="27"/>
    </row>
    <row r="10" spans="1:15" x14ac:dyDescent="0.2">
      <c r="A10" t="s">
        <v>53</v>
      </c>
      <c r="C10" t="s">
        <v>42</v>
      </c>
      <c r="D10" s="7" t="s">
        <v>361</v>
      </c>
      <c r="E10" s="7" t="s">
        <v>87</v>
      </c>
      <c r="F10" s="7" t="s">
        <v>364</v>
      </c>
      <c r="L10" s="2"/>
    </row>
    <row r="11" spans="1:15" x14ac:dyDescent="0.2">
      <c r="A11" s="9" t="s">
        <v>54</v>
      </c>
      <c r="B11" s="9"/>
      <c r="C11" s="9" t="s">
        <v>43</v>
      </c>
      <c r="D11" s="323" t="s">
        <v>362</v>
      </c>
      <c r="E11" s="323" t="s">
        <v>78</v>
      </c>
      <c r="F11" s="323" t="s">
        <v>78</v>
      </c>
      <c r="G11" s="50"/>
      <c r="H11" s="50"/>
      <c r="I11" s="50"/>
      <c r="L11" s="2"/>
    </row>
    <row r="12" spans="1:15" x14ac:dyDescent="0.2">
      <c r="A12" s="13"/>
      <c r="B12" s="13"/>
      <c r="C12" s="11" t="str">
        <f>TEXT(COLUMN()-2,"(#)")</f>
        <v>(1)</v>
      </c>
      <c r="D12" s="11" t="str">
        <f>TEXT(COLUMN()-2,"(#)")</f>
        <v>(2)</v>
      </c>
      <c r="E12" s="7" t="str">
        <f>TEXT(COLUMN()-2,"(#)")</f>
        <v>(3)</v>
      </c>
      <c r="F12" s="7" t="str">
        <f>TEXT(COLUMN()-2,"(#)")</f>
        <v>(4)</v>
      </c>
      <c r="G12" s="50"/>
      <c r="H12" s="50"/>
      <c r="I12" s="50"/>
      <c r="L12" s="2"/>
    </row>
    <row r="13" spans="1:15" x14ac:dyDescent="0.2">
      <c r="A13" s="88" t="s">
        <v>405</v>
      </c>
      <c r="B13" s="57"/>
      <c r="C13" s="125">
        <f>VLOOKUP($A13,'6.2'!$A$13:$G$65,5,0)</f>
        <v>27851584</v>
      </c>
      <c r="D13" s="326">
        <v>1</v>
      </c>
      <c r="E13" s="63">
        <f>VLOOKUP($A13,'6.2'!$A$13:$G$66,7,0)</f>
        <v>0.40100000000000002</v>
      </c>
      <c r="F13" s="324">
        <f>MAX(E13-$E$29,0)/D13</f>
        <v>0.29600000000000004</v>
      </c>
      <c r="G13" s="63"/>
      <c r="H13" s="169"/>
      <c r="I13" s="169"/>
      <c r="L13" s="2"/>
    </row>
    <row r="14" spans="1:15" x14ac:dyDescent="0.2">
      <c r="A14" s="88" t="s">
        <v>264</v>
      </c>
      <c r="B14" s="57"/>
      <c r="C14" s="125">
        <f>VLOOKUP($A14,'6.2'!$A$13:$G$65,5,0)</f>
        <v>28411573</v>
      </c>
      <c r="D14" s="326">
        <v>1</v>
      </c>
      <c r="E14" s="63">
        <f>VLOOKUP($A14,'6.2'!$A$16:$G$66,7,0)</f>
        <v>0.73199999999999998</v>
      </c>
      <c r="F14" s="324">
        <f t="shared" ref="F14:F25" si="0">MAX(E14-$E$29,0)/D14</f>
        <v>0.627</v>
      </c>
      <c r="G14" s="63"/>
      <c r="H14" s="169"/>
      <c r="I14" s="169"/>
      <c r="L14" s="2"/>
    </row>
    <row r="15" spans="1:15" x14ac:dyDescent="0.2">
      <c r="A15" s="88" t="s">
        <v>108</v>
      </c>
      <c r="B15" s="57"/>
      <c r="C15" s="125">
        <f>VLOOKUP($A15,'6.2'!$A$13:$G$65,5,0)</f>
        <v>28313684</v>
      </c>
      <c r="D15" s="326">
        <v>1</v>
      </c>
      <c r="E15" s="63">
        <f>VLOOKUP($A15,'6.2'!$A$16:$G$66,7,0)</f>
        <v>0.80300000000000005</v>
      </c>
      <c r="F15" s="324">
        <f t="shared" si="0"/>
        <v>0.69800000000000006</v>
      </c>
      <c r="G15" s="63"/>
      <c r="H15" s="169"/>
      <c r="I15" s="169"/>
      <c r="L15" s="2"/>
    </row>
    <row r="16" spans="1:15" x14ac:dyDescent="0.2">
      <c r="A16" s="88" t="s">
        <v>109</v>
      </c>
      <c r="B16" s="57"/>
      <c r="C16" s="125">
        <f>VLOOKUP($A16,'6.2'!$A$13:$G$65,5,0)</f>
        <v>48089878</v>
      </c>
      <c r="D16" s="326">
        <v>1</v>
      </c>
      <c r="E16" s="63">
        <f>VLOOKUP($A16,'6.2'!$A$16:$G$66,7,0)</f>
        <v>0.748</v>
      </c>
      <c r="F16" s="324">
        <f t="shared" si="0"/>
        <v>0.64300000000000002</v>
      </c>
      <c r="G16" s="63"/>
      <c r="H16" s="169"/>
      <c r="I16" s="169"/>
      <c r="L16" s="2"/>
    </row>
    <row r="17" spans="1:13" x14ac:dyDescent="0.2">
      <c r="A17" s="88" t="s">
        <v>110</v>
      </c>
      <c r="B17" s="57"/>
      <c r="C17" s="125">
        <f>VLOOKUP($A17,'6.2'!$A$13:$G$65,5,0)</f>
        <v>61754514.017302364</v>
      </c>
      <c r="D17" s="326">
        <v>1</v>
      </c>
      <c r="E17" s="63">
        <f>VLOOKUP($A17,'6.2'!$A$16:$G$66,7,0)</f>
        <v>5.2480000000000002</v>
      </c>
      <c r="F17" s="324">
        <f t="shared" si="0"/>
        <v>5.1429999999999998</v>
      </c>
      <c r="G17" s="63"/>
      <c r="H17" s="169"/>
      <c r="I17" s="169"/>
      <c r="L17" s="2"/>
      <c r="M17" t="s">
        <v>355</v>
      </c>
    </row>
    <row r="18" spans="1:13" x14ac:dyDescent="0.2">
      <c r="A18" s="88" t="s">
        <v>111</v>
      </c>
      <c r="B18" s="57"/>
      <c r="C18" s="125">
        <f>VLOOKUP($A18,'6.2'!$A$13:$G$65,5,0)</f>
        <v>78674586.242656693</v>
      </c>
      <c r="D18" s="326">
        <v>1</v>
      </c>
      <c r="E18" s="63">
        <f>VLOOKUP($A18,'6.2'!$A$16:$G$66,7,0)</f>
        <v>0.114</v>
      </c>
      <c r="F18" s="324">
        <f t="shared" si="0"/>
        <v>9.000000000000008E-3</v>
      </c>
      <c r="G18" s="63"/>
      <c r="H18" s="169"/>
      <c r="I18" s="169"/>
      <c r="L18" s="2"/>
    </row>
    <row r="19" spans="1:13" x14ac:dyDescent="0.2">
      <c r="A19" s="88" t="s">
        <v>112</v>
      </c>
      <c r="B19" s="57"/>
      <c r="C19" s="125">
        <f>VLOOKUP($A19,'6.2'!$A$13:$G$65,5,0)</f>
        <v>94668449.620354712</v>
      </c>
      <c r="D19" s="326">
        <v>2</v>
      </c>
      <c r="E19" s="63">
        <f>VLOOKUP($A19,'6.2'!$A$16:$G$66,7,0)</f>
        <v>0.08</v>
      </c>
      <c r="F19" s="324">
        <f t="shared" si="0"/>
        <v>0</v>
      </c>
      <c r="G19" s="63"/>
      <c r="H19" s="169"/>
      <c r="I19" s="169"/>
      <c r="L19" s="2"/>
    </row>
    <row r="20" spans="1:13" x14ac:dyDescent="0.2">
      <c r="A20" s="88" t="s">
        <v>113</v>
      </c>
      <c r="B20" s="57"/>
      <c r="C20" s="125">
        <f>VLOOKUP($A20,'6.2'!$A$13:$G$65,5,0)</f>
        <v>175094687.79983312</v>
      </c>
      <c r="D20" s="326">
        <v>1</v>
      </c>
      <c r="E20" s="63">
        <f>VLOOKUP($A20,'6.2'!$A$16:$G$66,7,0)</f>
        <v>8.8999999999999996E-2</v>
      </c>
      <c r="F20" s="324">
        <f t="shared" si="0"/>
        <v>0</v>
      </c>
      <c r="G20" s="63"/>
      <c r="H20" s="169"/>
      <c r="I20" s="169"/>
      <c r="L20" s="2"/>
    </row>
    <row r="21" spans="1:13" x14ac:dyDescent="0.2">
      <c r="A21" s="163" t="s">
        <v>276</v>
      </c>
      <c r="B21" s="161"/>
      <c r="C21" s="125">
        <f>VLOOKUP($A21,'6.2'!$A$13:$G$65,5,0)</f>
        <v>225873235.71044844</v>
      </c>
      <c r="D21" s="326">
        <v>1</v>
      </c>
      <c r="E21" s="63">
        <f>VLOOKUP($A21,'6.2'!$A$16:$G$66,7,0)</f>
        <v>0.20100000000000001</v>
      </c>
      <c r="F21" s="324">
        <f t="shared" si="0"/>
        <v>9.6000000000000016E-2</v>
      </c>
      <c r="G21" s="63"/>
      <c r="H21" s="169"/>
      <c r="I21" s="169"/>
      <c r="L21" s="2"/>
    </row>
    <row r="22" spans="1:13" x14ac:dyDescent="0.2">
      <c r="A22" s="163" t="s">
        <v>285</v>
      </c>
      <c r="B22" s="161"/>
      <c r="C22" s="125">
        <f>VLOOKUP($A22,'6.2'!$A$13:$G$65,5,0)</f>
        <v>248665747.95384526</v>
      </c>
      <c r="D22" s="326">
        <v>1</v>
      </c>
      <c r="E22" s="63">
        <f>VLOOKUP($A22,'6.2'!$A$16:$G$66,7,0)</f>
        <v>1.1160000000000001</v>
      </c>
      <c r="F22" s="324">
        <f t="shared" si="0"/>
        <v>1.0110000000000001</v>
      </c>
      <c r="G22" s="63"/>
      <c r="H22" s="169"/>
      <c r="I22" s="169"/>
      <c r="L22" s="2"/>
    </row>
    <row r="23" spans="1:13" x14ac:dyDescent="0.2">
      <c r="A23" s="163" t="s">
        <v>299</v>
      </c>
      <c r="B23" s="161"/>
      <c r="C23" s="125">
        <f>VLOOKUP($A23,'6.2'!$A$13:$G$65,5,0)</f>
        <v>384632941.03010315</v>
      </c>
      <c r="D23" s="326">
        <v>1</v>
      </c>
      <c r="E23" s="63">
        <f>VLOOKUP($A23,'6.2'!$A$16:$G$66,7,0)</f>
        <v>5.0999999999999997E-2</v>
      </c>
      <c r="F23" s="324">
        <f t="shared" si="0"/>
        <v>0</v>
      </c>
      <c r="G23" s="63"/>
      <c r="H23" s="169"/>
      <c r="I23" s="169"/>
      <c r="L23" s="2"/>
    </row>
    <row r="24" spans="1:13" x14ac:dyDescent="0.2">
      <c r="A24" s="163" t="s">
        <v>300</v>
      </c>
      <c r="B24" s="161"/>
      <c r="C24" s="125">
        <f>VLOOKUP($A24,'6.2'!$A$13:$G$65,5,0)</f>
        <v>477636240.60245597</v>
      </c>
      <c r="D24" s="326">
        <v>2</v>
      </c>
      <c r="E24" s="63">
        <f>VLOOKUP($A24,'6.2'!$A$16:$G$66,7,0)</f>
        <v>4.1989999999999998</v>
      </c>
      <c r="F24" s="324">
        <f t="shared" si="0"/>
        <v>2.0469999999999997</v>
      </c>
      <c r="G24" s="63"/>
      <c r="H24" s="169"/>
      <c r="I24" s="169"/>
      <c r="L24" s="2"/>
      <c r="M24" t="s">
        <v>356</v>
      </c>
    </row>
    <row r="25" spans="1:13" x14ac:dyDescent="0.2">
      <c r="A25" s="282">
        <v>2017</v>
      </c>
      <c r="B25" s="180"/>
      <c r="C25" s="32">
        <f>VLOOKUP($A25,'6.2'!$A$13:$G$65,5,0)</f>
        <v>559948821.95000052</v>
      </c>
      <c r="D25" s="327">
        <v>1</v>
      </c>
      <c r="E25" s="71">
        <f>VLOOKUP($A25,'6.2'!$A$16:$G$66,7,0)</f>
        <v>2.2394879999999997</v>
      </c>
      <c r="F25" s="325">
        <f t="shared" si="0"/>
        <v>2.1344879999999997</v>
      </c>
      <c r="G25" s="63"/>
      <c r="H25" s="50"/>
      <c r="I25" s="169"/>
      <c r="L25" s="2"/>
    </row>
    <row r="26" spans="1:13" x14ac:dyDescent="0.2">
      <c r="A26" s="59" t="s">
        <v>117</v>
      </c>
      <c r="C26" s="19"/>
      <c r="E26" s="45"/>
      <c r="F26" s="47"/>
      <c r="G26" s="50"/>
      <c r="H26" s="50"/>
      <c r="I26" s="169"/>
      <c r="L26" s="2"/>
    </row>
    <row r="27" spans="1:13" x14ac:dyDescent="0.2">
      <c r="A27" s="65"/>
      <c r="C27" s="38"/>
      <c r="D27" s="38"/>
      <c r="E27" s="61">
        <f>ROUND(AVERAGE(E14:E25),3)</f>
        <v>1.302</v>
      </c>
      <c r="F27" s="61">
        <f>ROUND(AVERAGE(F13:F25),3)</f>
        <v>0.97699999999999998</v>
      </c>
      <c r="G27" s="169"/>
      <c r="H27" s="169"/>
      <c r="I27" s="169"/>
      <c r="L27" s="2"/>
    </row>
    <row r="28" spans="1:13" x14ac:dyDescent="0.2">
      <c r="C28" s="38"/>
      <c r="D28" s="38"/>
      <c r="E28" s="47"/>
      <c r="F28" s="47"/>
      <c r="G28" s="169"/>
      <c r="H28" s="169"/>
      <c r="I28" s="169"/>
      <c r="L28" s="2"/>
    </row>
    <row r="29" spans="1:13" x14ac:dyDescent="0.2">
      <c r="A29" s="65" t="s">
        <v>120</v>
      </c>
      <c r="B29" t="s">
        <v>125</v>
      </c>
      <c r="C29" s="38"/>
      <c r="D29" s="38"/>
      <c r="E29" s="61">
        <f>'6.2'!$G$70</f>
        <v>0.105</v>
      </c>
      <c r="F29" s="61"/>
      <c r="L29" s="2"/>
    </row>
    <row r="30" spans="1:13" x14ac:dyDescent="0.2">
      <c r="E30" s="45"/>
      <c r="F30" s="45"/>
      <c r="L30" s="2"/>
    </row>
    <row r="31" spans="1:13" x14ac:dyDescent="0.2">
      <c r="A31" s="65" t="s">
        <v>352</v>
      </c>
      <c r="B31" t="s">
        <v>365</v>
      </c>
      <c r="E31" s="64">
        <f>F27</f>
        <v>0.97699999999999998</v>
      </c>
      <c r="F31" s="64"/>
      <c r="G31" s="20"/>
      <c r="H31" s="20"/>
      <c r="I31" s="20"/>
      <c r="L31" s="2"/>
    </row>
    <row r="32" spans="1:13" x14ac:dyDescent="0.2">
      <c r="A32" s="315" t="s">
        <v>353</v>
      </c>
      <c r="B32" t="s">
        <v>354</v>
      </c>
      <c r="E32" s="64">
        <f>F27</f>
        <v>0.97699999999999998</v>
      </c>
      <c r="F32" s="45"/>
      <c r="L32" s="2"/>
      <c r="M32" s="81"/>
    </row>
    <row r="33" spans="1:13" x14ac:dyDescent="0.2">
      <c r="L33" s="2"/>
      <c r="M33" s="80"/>
    </row>
    <row r="34" spans="1:13" x14ac:dyDescent="0.2">
      <c r="A34" s="65" t="s">
        <v>123</v>
      </c>
      <c r="B34" t="s">
        <v>279</v>
      </c>
      <c r="E34" s="45"/>
      <c r="F34" s="45"/>
      <c r="L34" s="2"/>
    </row>
    <row r="35" spans="1:13" x14ac:dyDescent="0.2">
      <c r="B35" t="str">
        <f>"(a) "&amp;'9'!A50&amp;" ("&amp;'9'!C50&amp;")"</f>
        <v>(a) 54-Year (1/1/1966 - 12/31/2019)</v>
      </c>
      <c r="E35" s="76">
        <f>'9'!$G$50</f>
        <v>0.27800000000000002</v>
      </c>
      <c r="F35" s="45" t="str">
        <f>"(1 Hurricane Every "&amp;TEXT(1/E35,"0.0")&amp;" years)"</f>
        <v>(1 Hurricane Every 3.6 years)</v>
      </c>
      <c r="L35" s="2"/>
    </row>
    <row r="36" spans="1:13" x14ac:dyDescent="0.2">
      <c r="B36" t="str">
        <f>"(a) "&amp;'9'!A51&amp;" ("&amp;'9'!C51&amp;")"</f>
        <v>(a) 169-Year (1/1/1851 - 12/31/2019)</v>
      </c>
      <c r="E36" s="76">
        <f>'9'!$G$51</f>
        <v>0.379</v>
      </c>
      <c r="F36" s="45" t="str">
        <f>"(1 Hurricane Every "&amp;TEXT(1/E36,"0.0")&amp;" years)"</f>
        <v>(1 Hurricane Every 2.6 years)</v>
      </c>
      <c r="L36" s="2"/>
    </row>
    <row r="37" spans="1:13" x14ac:dyDescent="0.2">
      <c r="B37" s="22"/>
      <c r="E37" s="50"/>
      <c r="F37" s="50"/>
      <c r="L37" s="2"/>
    </row>
    <row r="38" spans="1:13" x14ac:dyDescent="0.2">
      <c r="B38" t="s">
        <v>280</v>
      </c>
      <c r="E38" s="157">
        <f>ROUND(E36,3)</f>
        <v>0.379</v>
      </c>
      <c r="F38" s="45" t="str">
        <f>"(1 Hurricane Every "&amp;TEXT(1/E38,"0.0")&amp;" years)"</f>
        <v>(1 Hurricane Every 2.6 years)</v>
      </c>
      <c r="L38" s="2"/>
    </row>
    <row r="39" spans="1:13" x14ac:dyDescent="0.2">
      <c r="E39" s="45"/>
      <c r="F39" s="45"/>
      <c r="L39" s="2"/>
    </row>
    <row r="40" spans="1:13" x14ac:dyDescent="0.2">
      <c r="A40" s="65" t="s">
        <v>122</v>
      </c>
      <c r="B40" t="s">
        <v>149</v>
      </c>
      <c r="E40" s="64">
        <f>ROUND(E38*E32,3)</f>
        <v>0.37</v>
      </c>
      <c r="F40" s="64"/>
      <c r="L40" s="2"/>
      <c r="M40" t="s">
        <v>217</v>
      </c>
    </row>
    <row r="41" spans="1:13" ht="12" thickBot="1" x14ac:dyDescent="0.25">
      <c r="A41" s="6"/>
      <c r="B41" s="6"/>
      <c r="C41" s="6"/>
      <c r="D41" s="6"/>
      <c r="E41" s="6"/>
      <c r="F41" s="50"/>
      <c r="L41" s="2"/>
      <c r="M41" s="86">
        <f>'6.4'!K$54</f>
        <v>43738</v>
      </c>
    </row>
    <row r="42" spans="1:13" ht="12" thickTop="1" x14ac:dyDescent="0.2">
      <c r="E42" s="50"/>
      <c r="F42" s="50"/>
      <c r="L42" s="2"/>
    </row>
    <row r="43" spans="1:13" x14ac:dyDescent="0.2">
      <c r="A43" t="s">
        <v>17</v>
      </c>
      <c r="E43" s="58"/>
      <c r="F43" s="50"/>
      <c r="L43" s="2"/>
    </row>
    <row r="44" spans="1:13" x14ac:dyDescent="0.2">
      <c r="B44" s="22" t="str">
        <f>C12&amp;" "&amp;'6.2'!$J$1&amp;", "&amp;'6.2'!$J$2&amp;".  Accident years ending "&amp;TEXT($M$41,"m/d/xx")</f>
        <v>(1) Exhibit 6, Sheet 2.  Accident years ending 9/30/xx</v>
      </c>
      <c r="C44" s="22"/>
      <c r="E44" s="50"/>
      <c r="F44" s="50"/>
      <c r="L44" s="2"/>
    </row>
    <row r="45" spans="1:13" x14ac:dyDescent="0.2">
      <c r="B45" s="22" t="str">
        <f>E12&amp;" "&amp;'6.2'!$J$1&amp;", "&amp;'6.2'!$J$2&amp;".  Accident years ending "&amp;TEXT($M$41,"m/d/xx")</f>
        <v>(3) Exhibit 6, Sheet 2.  Accident years ending 9/30/xx</v>
      </c>
      <c r="E45" s="50"/>
      <c r="F45" s="50"/>
      <c r="L45" s="2"/>
    </row>
    <row r="46" spans="1:13" x14ac:dyDescent="0.2">
      <c r="B46" t="s">
        <v>406</v>
      </c>
      <c r="E46" s="50"/>
      <c r="F46" s="50"/>
      <c r="L46" s="2"/>
    </row>
    <row r="47" spans="1:13" x14ac:dyDescent="0.2">
      <c r="B47" s="22" t="str">
        <f>A29&amp;" "&amp;'6.2'!$J$1&amp;", "&amp;'6.2'!$J$2</f>
        <v>(5) Exhibit 6, Sheet 2</v>
      </c>
      <c r="E47" s="50"/>
      <c r="F47" s="50"/>
      <c r="L47" s="2"/>
    </row>
    <row r="48" spans="1:13" x14ac:dyDescent="0.2">
      <c r="B48" s="22" t="str">
        <f>A31&amp;"= Average of "&amp;F12&amp;""</f>
        <v>(6) a= Average of (4)</v>
      </c>
      <c r="E48" s="50"/>
      <c r="F48" s="50"/>
      <c r="L48" s="2"/>
    </row>
    <row r="49" spans="1:12" x14ac:dyDescent="0.2">
      <c r="B49" t="s">
        <v>366</v>
      </c>
      <c r="E49" s="50"/>
      <c r="F49" s="50"/>
      <c r="L49" s="2"/>
    </row>
    <row r="50" spans="1:12" x14ac:dyDescent="0.2">
      <c r="B50" s="22" t="str">
        <f>A34&amp;" "&amp;'9'!$J$1</f>
        <v>(7) Exhibit 9</v>
      </c>
      <c r="E50" s="50"/>
      <c r="F50" s="50"/>
      <c r="L50" s="2"/>
    </row>
    <row r="51" spans="1:12" x14ac:dyDescent="0.2">
      <c r="A51" s="65"/>
      <c r="B51" s="22" t="str">
        <f>A40&amp;" = "&amp;A32&amp;" * "&amp;A34&amp;" Selected"</f>
        <v>(8) = (6) b * (7) Selected</v>
      </c>
      <c r="E51" s="64"/>
      <c r="F51" s="64"/>
      <c r="L51" s="2"/>
    </row>
    <row r="52" spans="1:12" x14ac:dyDescent="0.2">
      <c r="E52" s="50"/>
      <c r="F52" s="50"/>
      <c r="L52" s="2"/>
    </row>
    <row r="53" spans="1:12" x14ac:dyDescent="0.2">
      <c r="E53" s="50"/>
      <c r="F53" s="50"/>
      <c r="L53" s="2"/>
    </row>
    <row r="54" spans="1:12" x14ac:dyDescent="0.2">
      <c r="E54" s="50"/>
      <c r="F54" s="50"/>
      <c r="L54" s="2"/>
    </row>
    <row r="55" spans="1:12" x14ac:dyDescent="0.2">
      <c r="E55" s="50"/>
      <c r="F55" s="50"/>
      <c r="L55" s="2"/>
    </row>
    <row r="56" spans="1:12" x14ac:dyDescent="0.2">
      <c r="E56" s="50"/>
      <c r="F56" s="50"/>
      <c r="L56" s="2"/>
    </row>
    <row r="57" spans="1:12" ht="12" thickBot="1" x14ac:dyDescent="0.25">
      <c r="E57" s="50"/>
      <c r="F57" s="50"/>
      <c r="L57" s="2"/>
    </row>
    <row r="58" spans="1:12" ht="12" thickBot="1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A14:A19 A20:A2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rgb="FF92D050"/>
    <pageSetUpPr fitToPage="1"/>
  </sheetPr>
  <dimension ref="A1:M77"/>
  <sheetViews>
    <sheetView showGridLines="0" workbookViewId="0">
      <selection activeCell="G20" sqref="G20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106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85</v>
      </c>
      <c r="K2" s="2"/>
    </row>
    <row r="3" spans="1:12" x14ac:dyDescent="0.2">
      <c r="A3" s="8" t="str">
        <f>'1'!$A$3</f>
        <v>Rate Level Review</v>
      </c>
      <c r="B3" s="12"/>
      <c r="I3" s="50"/>
      <c r="K3" s="2"/>
    </row>
    <row r="4" spans="1:12" x14ac:dyDescent="0.2">
      <c r="A4" t="s">
        <v>107</v>
      </c>
      <c r="B4" s="12"/>
      <c r="I4" s="50"/>
      <c r="K4" s="2"/>
    </row>
    <row r="5" spans="1:12" x14ac:dyDescent="0.2">
      <c r="A5" t="str">
        <f>'6.1'!$M$5&amp;" - "&amp;'6.1'!$N$5</f>
        <v>1966 - 2019</v>
      </c>
      <c r="B5" s="12"/>
      <c r="I5" s="50"/>
      <c r="K5" s="2"/>
    </row>
    <row r="6" spans="1:12" ht="4.5" customHeight="1" thickBot="1" x14ac:dyDescent="0.25">
      <c r="A6" s="6"/>
      <c r="B6" s="6"/>
      <c r="C6" s="6"/>
      <c r="D6" s="6"/>
      <c r="E6" s="6"/>
      <c r="F6" s="6"/>
      <c r="G6" s="6"/>
      <c r="H6" s="6"/>
      <c r="I6" s="50"/>
      <c r="K6" s="2"/>
    </row>
    <row r="7" spans="1:12" ht="6" customHeight="1" thickTop="1" x14ac:dyDescent="0.2">
      <c r="I7" s="50"/>
      <c r="K7" s="2"/>
    </row>
    <row r="8" spans="1:12" x14ac:dyDescent="0.2">
      <c r="C8" s="22"/>
      <c r="D8" t="s">
        <v>126</v>
      </c>
      <c r="E8" t="s">
        <v>44</v>
      </c>
      <c r="I8" s="50"/>
      <c r="K8" s="2"/>
      <c r="L8" s="27"/>
    </row>
    <row r="9" spans="1:12" x14ac:dyDescent="0.2">
      <c r="A9" t="s">
        <v>53</v>
      </c>
      <c r="C9" t="s">
        <v>126</v>
      </c>
      <c r="D9" t="s">
        <v>127</v>
      </c>
      <c r="E9" t="s">
        <v>42</v>
      </c>
      <c r="F9" t="s">
        <v>87</v>
      </c>
      <c r="G9" t="s">
        <v>87</v>
      </c>
      <c r="H9" t="s">
        <v>6</v>
      </c>
      <c r="I9" s="50"/>
      <c r="K9" s="2"/>
      <c r="L9" s="22"/>
    </row>
    <row r="10" spans="1:12" x14ac:dyDescent="0.2">
      <c r="A10" s="9" t="s">
        <v>54</v>
      </c>
      <c r="B10" s="9"/>
      <c r="C10" s="9" t="s">
        <v>127</v>
      </c>
      <c r="D10" s="9" t="s">
        <v>128</v>
      </c>
      <c r="E10" s="9" t="s">
        <v>43</v>
      </c>
      <c r="F10" s="9" t="s">
        <v>118</v>
      </c>
      <c r="G10" s="9" t="s">
        <v>78</v>
      </c>
      <c r="H10" s="9" t="s">
        <v>79</v>
      </c>
      <c r="I10" s="50"/>
      <c r="K10" s="2"/>
      <c r="L10" s="52"/>
    </row>
    <row r="11" spans="1:12" x14ac:dyDescent="0.2">
      <c r="A11" s="13" t="str">
        <f>TEXT(COLUMN(),"(#)")</f>
        <v>(1)</v>
      </c>
      <c r="B11" s="13"/>
      <c r="C11" s="11" t="str">
        <f t="shared" ref="C11:H11" si="0">TEXT(COLUMN()-1,"(#)")</f>
        <v>(2)</v>
      </c>
      <c r="D11" s="11" t="str">
        <f t="shared" si="0"/>
        <v>(3)</v>
      </c>
      <c r="E11" s="11" t="str">
        <f t="shared" si="0"/>
        <v>(4)</v>
      </c>
      <c r="F11" s="11" t="str">
        <f t="shared" si="0"/>
        <v>(5)</v>
      </c>
      <c r="G11" s="11" t="str">
        <f t="shared" si="0"/>
        <v>(6)</v>
      </c>
      <c r="H11" s="11" t="str">
        <f t="shared" si="0"/>
        <v>(7)</v>
      </c>
      <c r="I11" s="117"/>
      <c r="K11" s="2"/>
    </row>
    <row r="12" spans="1:12" x14ac:dyDescent="0.2">
      <c r="A12" s="13"/>
      <c r="B12" s="13"/>
      <c r="C12" s="11"/>
      <c r="D12" s="11"/>
      <c r="E12" s="11"/>
      <c r="F12" s="11"/>
      <c r="G12" s="11"/>
      <c r="H12" s="11"/>
      <c r="I12" s="117"/>
      <c r="K12" s="2"/>
    </row>
    <row r="13" spans="1:12" x14ac:dyDescent="0.2">
      <c r="A13" s="191">
        <v>1966</v>
      </c>
      <c r="B13" s="12"/>
      <c r="D13" s="333">
        <v>13011528</v>
      </c>
      <c r="E13" s="31">
        <f>ROUND(D13*'6.4'!$K$14,0)</f>
        <v>27913364</v>
      </c>
      <c r="F13" s="333">
        <v>1178131</v>
      </c>
      <c r="G13" s="18">
        <f>ROUND(F13/E13,3)</f>
        <v>4.2000000000000003E-2</v>
      </c>
      <c r="I13" s="20"/>
      <c r="K13" s="2"/>
    </row>
    <row r="14" spans="1:12" x14ac:dyDescent="0.2">
      <c r="A14" t="str">
        <f>TEXT(A13+1,"#")</f>
        <v>1967</v>
      </c>
      <c r="B14" s="12"/>
      <c r="D14" s="333">
        <v>13130860</v>
      </c>
      <c r="E14" s="31">
        <f>ROUND(D14*'6.4'!$K$14,0)</f>
        <v>28169364</v>
      </c>
      <c r="F14" s="333">
        <v>663024</v>
      </c>
      <c r="G14" s="18">
        <f t="shared" ref="G14:G16" si="1">ROUND(F14/E14,3)</f>
        <v>2.4E-2</v>
      </c>
      <c r="I14" s="20"/>
      <c r="K14" s="2"/>
    </row>
    <row r="15" spans="1:12" x14ac:dyDescent="0.2">
      <c r="A15" t="str">
        <f t="shared" ref="A15:A16" si="2">TEXT(A14+1,"#")</f>
        <v>1968</v>
      </c>
      <c r="D15" s="333">
        <v>12982730</v>
      </c>
      <c r="E15" s="31">
        <f>ROUND(D15*'6.4'!$K$14,0)</f>
        <v>27851584</v>
      </c>
      <c r="F15" s="333">
        <v>11171683</v>
      </c>
      <c r="G15" s="18">
        <f t="shared" si="1"/>
        <v>0.40100000000000002</v>
      </c>
      <c r="H15" s="235" t="s">
        <v>80</v>
      </c>
      <c r="I15" s="20"/>
      <c r="K15" s="2"/>
    </row>
    <row r="16" spans="1:12" x14ac:dyDescent="0.2">
      <c r="A16" t="str">
        <f t="shared" si="2"/>
        <v>1969</v>
      </c>
      <c r="D16" s="333">
        <v>12499176</v>
      </c>
      <c r="E16" s="31">
        <f>ROUND(D16*'6.4'!$K$14,0)</f>
        <v>26814226</v>
      </c>
      <c r="F16" s="333">
        <v>3218757</v>
      </c>
      <c r="G16" s="18">
        <f t="shared" si="1"/>
        <v>0.12</v>
      </c>
      <c r="H16" s="235"/>
      <c r="I16" s="20"/>
      <c r="K16" s="2"/>
    </row>
    <row r="17" spans="1:13" x14ac:dyDescent="0.2">
      <c r="A17" s="60" t="s">
        <v>264</v>
      </c>
      <c r="B17" s="60"/>
      <c r="C17" s="33"/>
      <c r="D17" s="38">
        <v>13243763</v>
      </c>
      <c r="E17" s="31">
        <f>ROUND(D17*'6.4'!$K$14,0)</f>
        <v>28411573</v>
      </c>
      <c r="F17" s="38">
        <v>20786468</v>
      </c>
      <c r="G17" s="23">
        <f t="shared" ref="G17:G25" si="3">ROUND(F17/E17,3)</f>
        <v>0.73199999999999998</v>
      </c>
      <c r="H17" s="242" t="s">
        <v>80</v>
      </c>
      <c r="I17" s="62"/>
      <c r="K17" s="2"/>
    </row>
    <row r="18" spans="1:13" x14ac:dyDescent="0.2">
      <c r="A18" s="60" t="str">
        <f t="shared" ref="A18:A63" si="4">TEXT(A17+1,"#")</f>
        <v>1971</v>
      </c>
      <c r="B18" s="60"/>
      <c r="C18" s="218">
        <v>10640335</v>
      </c>
      <c r="D18" s="38">
        <v>13198133</v>
      </c>
      <c r="E18" s="31">
        <f>ROUND(D18*'6.4'!$K$14,0)</f>
        <v>28313684</v>
      </c>
      <c r="F18" s="38">
        <v>22731206</v>
      </c>
      <c r="G18" s="23">
        <f>ROUND(F18/E18,3)</f>
        <v>0.80300000000000005</v>
      </c>
      <c r="H18" s="242" t="s">
        <v>80</v>
      </c>
      <c r="I18" s="64"/>
      <c r="K18" s="2"/>
    </row>
    <row r="19" spans="1:13" x14ac:dyDescent="0.2">
      <c r="A19" s="60" t="str">
        <f t="shared" si="4"/>
        <v>1972</v>
      </c>
      <c r="B19" s="60"/>
      <c r="C19" s="218">
        <v>12302040</v>
      </c>
      <c r="D19" s="38">
        <v>13902740</v>
      </c>
      <c r="E19" s="31">
        <f>ROUND(D19*'6.4'!$K$14,0)</f>
        <v>29825263</v>
      </c>
      <c r="F19" s="38">
        <v>2242093</v>
      </c>
      <c r="G19" s="23">
        <f>ROUND(F19/E19,3)</f>
        <v>7.4999999999999997E-2</v>
      </c>
      <c r="H19" s="242"/>
      <c r="I19" s="64"/>
      <c r="K19" s="2"/>
    </row>
    <row r="20" spans="1:13" x14ac:dyDescent="0.2">
      <c r="A20" t="str">
        <f t="shared" si="4"/>
        <v>1973</v>
      </c>
      <c r="B20" s="25"/>
      <c r="C20" s="218">
        <v>12935382</v>
      </c>
      <c r="D20" s="38">
        <v>12724690</v>
      </c>
      <c r="E20" s="31">
        <f>ROUND(D20*'6.4'!$K$14,0)</f>
        <v>27298016</v>
      </c>
      <c r="F20" s="38">
        <v>4933261</v>
      </c>
      <c r="G20" s="23">
        <f t="shared" si="3"/>
        <v>0.18099999999999999</v>
      </c>
      <c r="H20" s="218"/>
      <c r="I20" s="64"/>
      <c r="K20" s="2"/>
      <c r="M20" s="38"/>
    </row>
    <row r="21" spans="1:13" x14ac:dyDescent="0.2">
      <c r="A21" t="str">
        <f t="shared" si="4"/>
        <v>1974</v>
      </c>
      <c r="B21" s="25"/>
      <c r="C21" s="218">
        <v>12794652</v>
      </c>
      <c r="D21" s="38">
        <v>11637700</v>
      </c>
      <c r="E21" s="31">
        <f>ROUND(D21*'6.4'!$K$14,0)</f>
        <v>24966119</v>
      </c>
      <c r="F21" s="38">
        <v>2293219</v>
      </c>
      <c r="G21" s="23">
        <f t="shared" si="3"/>
        <v>9.1999999999999998E-2</v>
      </c>
      <c r="H21" s="218"/>
      <c r="I21" s="64"/>
      <c r="K21" s="2"/>
      <c r="M21" s="38"/>
    </row>
    <row r="22" spans="1:13" x14ac:dyDescent="0.2">
      <c r="A22" t="str">
        <f t="shared" si="4"/>
        <v>1975</v>
      </c>
      <c r="B22" s="25"/>
      <c r="C22" s="218">
        <v>13633616</v>
      </c>
      <c r="D22" s="38">
        <v>12392309</v>
      </c>
      <c r="E22" s="31">
        <f>ROUND(D22*'6.4'!$K$14,0)</f>
        <v>26584966</v>
      </c>
      <c r="F22" s="38">
        <v>3062897</v>
      </c>
      <c r="G22" s="23">
        <f t="shared" si="3"/>
        <v>0.115</v>
      </c>
      <c r="H22" s="218"/>
      <c r="I22" s="64"/>
      <c r="K22" s="2"/>
      <c r="M22" s="38"/>
    </row>
    <row r="23" spans="1:13" x14ac:dyDescent="0.2">
      <c r="A23" t="str">
        <f t="shared" si="4"/>
        <v>1976</v>
      </c>
      <c r="B23" s="25"/>
      <c r="C23" s="218">
        <v>17088846</v>
      </c>
      <c r="D23" s="38">
        <v>13884831</v>
      </c>
      <c r="E23" s="31">
        <f>ROUND(D23*'6.4'!$K$14,0)</f>
        <v>29786843</v>
      </c>
      <c r="F23" s="38">
        <v>1522489</v>
      </c>
      <c r="G23" s="23">
        <f>ROUND(F23/E23,3)</f>
        <v>5.0999999999999997E-2</v>
      </c>
      <c r="H23" s="218"/>
      <c r="I23" s="64"/>
      <c r="K23" s="2"/>
      <c r="M23" s="38"/>
    </row>
    <row r="24" spans="1:13" x14ac:dyDescent="0.2">
      <c r="A24" t="str">
        <f t="shared" si="4"/>
        <v>1977</v>
      </c>
      <c r="B24" s="25"/>
      <c r="C24" s="218">
        <v>23643216</v>
      </c>
      <c r="D24" s="38">
        <v>17474220</v>
      </c>
      <c r="E24" s="31">
        <f>ROUND(D24*'6.4'!$K$14,0)</f>
        <v>37487085</v>
      </c>
      <c r="F24" s="38">
        <v>972383</v>
      </c>
      <c r="G24" s="23">
        <f t="shared" si="3"/>
        <v>2.5999999999999999E-2</v>
      </c>
      <c r="H24" s="218"/>
      <c r="I24" s="64"/>
      <c r="K24" s="2"/>
      <c r="M24" s="38"/>
    </row>
    <row r="25" spans="1:13" x14ac:dyDescent="0.2">
      <c r="A25" t="str">
        <f t="shared" si="4"/>
        <v>1978</v>
      </c>
      <c r="B25" s="25"/>
      <c r="C25" s="218">
        <v>28157329</v>
      </c>
      <c r="D25" s="38">
        <v>19320941</v>
      </c>
      <c r="E25" s="31">
        <f>ROUND(D25*'6.4'!$K$14,0)</f>
        <v>41448818</v>
      </c>
      <c r="F25" s="38">
        <v>1449823</v>
      </c>
      <c r="G25" s="23">
        <f t="shared" si="3"/>
        <v>3.5000000000000003E-2</v>
      </c>
      <c r="H25" s="218"/>
      <c r="I25" s="64"/>
      <c r="K25" s="2"/>
      <c r="M25" s="38"/>
    </row>
    <row r="26" spans="1:13" x14ac:dyDescent="0.2">
      <c r="A26" t="str">
        <f t="shared" si="4"/>
        <v>1979</v>
      </c>
      <c r="B26" s="25"/>
      <c r="C26" s="218">
        <v>32867536</v>
      </c>
      <c r="D26" s="38">
        <v>21563567</v>
      </c>
      <c r="E26" s="31">
        <f>ROUND(D26*'6.4'!$K$14,0)</f>
        <v>46259877</v>
      </c>
      <c r="F26" s="38">
        <v>3940899</v>
      </c>
      <c r="G26" s="23">
        <f>ROUND(F26/E26,3)</f>
        <v>8.5000000000000006E-2</v>
      </c>
      <c r="H26" s="218"/>
      <c r="I26" s="64"/>
      <c r="K26" s="2"/>
      <c r="M26" s="38"/>
    </row>
    <row r="27" spans="1:13" x14ac:dyDescent="0.2">
      <c r="A27" t="str">
        <f t="shared" si="4"/>
        <v>1980</v>
      </c>
      <c r="B27" s="25"/>
      <c r="C27" s="218">
        <v>32179994</v>
      </c>
      <c r="D27" s="38">
        <v>22416603</v>
      </c>
      <c r="E27" s="31">
        <f>ROUND(D27*'6.4'!$K$14,0)</f>
        <v>48089878</v>
      </c>
      <c r="F27" s="38"/>
      <c r="G27" s="206">
        <v>0.748</v>
      </c>
      <c r="H27" s="218" t="s">
        <v>80</v>
      </c>
      <c r="I27" s="64"/>
      <c r="K27" s="2"/>
      <c r="M27" s="38"/>
    </row>
    <row r="28" spans="1:13" x14ac:dyDescent="0.2">
      <c r="A28" t="str">
        <f t="shared" si="4"/>
        <v>1981</v>
      </c>
      <c r="B28" s="25"/>
      <c r="C28" s="219">
        <v>30817037</v>
      </c>
      <c r="D28" s="38">
        <v>29693419</v>
      </c>
      <c r="E28" s="31">
        <f>ROUND(D28*'6.4'!$K$14,0)</f>
        <v>63700682</v>
      </c>
      <c r="F28" s="38"/>
      <c r="G28" s="206">
        <v>3.2000000000000001E-2</v>
      </c>
      <c r="H28" s="218"/>
      <c r="I28" s="64"/>
      <c r="K28" s="2"/>
      <c r="M28" s="38"/>
    </row>
    <row r="29" spans="1:13" x14ac:dyDescent="0.2">
      <c r="A29" s="9" t="str">
        <f t="shared" si="4"/>
        <v>1982</v>
      </c>
      <c r="B29" s="26"/>
      <c r="C29" s="252">
        <v>28140159</v>
      </c>
      <c r="D29" s="68">
        <v>32398474</v>
      </c>
      <c r="E29" s="32">
        <f>ROUND(D29*'6.4'!$K$14,0)</f>
        <v>69503781</v>
      </c>
      <c r="F29" s="68"/>
      <c r="G29" s="253">
        <v>2.3E-2</v>
      </c>
      <c r="H29" s="252"/>
      <c r="I29" s="64"/>
      <c r="K29" s="2"/>
      <c r="M29" s="38"/>
    </row>
    <row r="30" spans="1:13" x14ac:dyDescent="0.2">
      <c r="A30" s="50" t="str">
        <f t="shared" si="4"/>
        <v>1983</v>
      </c>
      <c r="B30" s="50"/>
      <c r="C30" s="219">
        <v>28786234</v>
      </c>
      <c r="D30" s="47"/>
      <c r="E30" s="125">
        <f>'6.4'!E14+'6.5'!E14+'6.6'!E14+'6.7'!E14</f>
        <v>61754514.017302364</v>
      </c>
      <c r="F30" s="125"/>
      <c r="G30" s="53">
        <f>'6.3'!H14</f>
        <v>5.2480000000000002</v>
      </c>
      <c r="H30" s="219" t="s">
        <v>80</v>
      </c>
      <c r="I30" s="62"/>
      <c r="K30" s="2"/>
      <c r="M30" s="38"/>
    </row>
    <row r="31" spans="1:13" x14ac:dyDescent="0.2">
      <c r="A31" s="50" t="str">
        <f t="shared" si="4"/>
        <v>1984</v>
      </c>
      <c r="B31" s="50"/>
      <c r="C31" s="219">
        <v>20078668</v>
      </c>
      <c r="D31" s="47"/>
      <c r="E31" s="125">
        <f>'6.4'!E15+'6.5'!E15+'6.6'!E15+'6.7'!E15</f>
        <v>43074353.626869917</v>
      </c>
      <c r="F31" s="125"/>
      <c r="G31" s="53">
        <f>'6.3'!H15</f>
        <v>0.14799999999999999</v>
      </c>
      <c r="H31" s="219"/>
      <c r="I31" s="62"/>
      <c r="K31" s="2"/>
      <c r="M31" s="38"/>
    </row>
    <row r="32" spans="1:13" x14ac:dyDescent="0.2">
      <c r="A32" t="str">
        <f t="shared" si="4"/>
        <v>1985</v>
      </c>
      <c r="C32" s="218">
        <v>30043452</v>
      </c>
      <c r="D32" s="38"/>
      <c r="E32" s="125">
        <f>'6.4'!E16+'6.5'!E16+'6.6'!E16+'6.7'!E16</f>
        <v>64451600.841041744</v>
      </c>
      <c r="F32" s="31"/>
      <c r="G32" s="53">
        <f>'6.3'!H16</f>
        <v>6.4000000000000001E-2</v>
      </c>
      <c r="H32" s="218"/>
      <c r="I32" s="251"/>
      <c r="K32" s="2"/>
    </row>
    <row r="33" spans="1:13" x14ac:dyDescent="0.2">
      <c r="A33" t="str">
        <f t="shared" si="4"/>
        <v>1986</v>
      </c>
      <c r="C33" s="218">
        <v>36673352</v>
      </c>
      <c r="D33" s="38"/>
      <c r="E33" s="125">
        <f>'6.4'!E17+'6.5'!E17+'6.6'!E17+'6.7'!E17</f>
        <v>78674586.242656693</v>
      </c>
      <c r="F33" s="31"/>
      <c r="G33" s="53">
        <f>'6.3'!H17</f>
        <v>0.114</v>
      </c>
      <c r="H33" s="219" t="s">
        <v>80</v>
      </c>
      <c r="I33" s="251"/>
      <c r="K33" s="2"/>
    </row>
    <row r="34" spans="1:13" x14ac:dyDescent="0.2">
      <c r="A34" t="str">
        <f t="shared" si="4"/>
        <v>1987</v>
      </c>
      <c r="C34" s="218">
        <v>41598709</v>
      </c>
      <c r="D34" s="38"/>
      <c r="E34" s="125">
        <f>'6.4'!E18+'6.5'!E18+'6.6'!E18+'6.7'!E18</f>
        <v>89240855.949003041</v>
      </c>
      <c r="F34" s="31"/>
      <c r="G34" s="53">
        <f>'6.3'!H18</f>
        <v>2.9000000000000001E-2</v>
      </c>
      <c r="H34" s="219" t="s">
        <v>331</v>
      </c>
      <c r="I34" s="251"/>
      <c r="K34" s="2"/>
    </row>
    <row r="35" spans="1:13" x14ac:dyDescent="0.2">
      <c r="A35" t="str">
        <f t="shared" si="4"/>
        <v>1988</v>
      </c>
      <c r="C35" s="218">
        <v>45044392</v>
      </c>
      <c r="D35" s="82"/>
      <c r="E35" s="125">
        <f>'6.4'!E19+'6.5'!E19+'6.6'!E19+'6.7'!E19</f>
        <v>99314292.923248917</v>
      </c>
      <c r="F35" s="31"/>
      <c r="G35" s="53">
        <f>'6.3'!H19</f>
        <v>0.12</v>
      </c>
      <c r="H35" s="234"/>
      <c r="I35" s="251"/>
      <c r="K35" s="2"/>
    </row>
    <row r="36" spans="1:13" x14ac:dyDescent="0.2">
      <c r="A36" t="str">
        <f t="shared" si="4"/>
        <v>1989</v>
      </c>
      <c r="C36" s="241">
        <v>41745774</v>
      </c>
      <c r="D36" s="82"/>
      <c r="E36" s="125">
        <f>'6.4'!E20+'6.5'!E20+'6.6'!E20+'6.7'!E20</f>
        <v>94668449.620354712</v>
      </c>
      <c r="F36" s="31"/>
      <c r="G36" s="53">
        <f>'6.3'!H20</f>
        <v>0.08</v>
      </c>
      <c r="H36" s="234" t="s">
        <v>80</v>
      </c>
      <c r="I36" s="251"/>
      <c r="K36" s="2"/>
    </row>
    <row r="37" spans="1:13" x14ac:dyDescent="0.2">
      <c r="A37" s="60" t="str">
        <f t="shared" si="4"/>
        <v>1990</v>
      </c>
      <c r="B37" s="60"/>
      <c r="C37" s="219">
        <v>40384195</v>
      </c>
      <c r="D37" s="82"/>
      <c r="E37" s="125">
        <f>'6.4'!E21+'6.5'!E21+'6.6'!E21+'6.7'!E21</f>
        <v>90182908.649182692</v>
      </c>
      <c r="F37" s="31"/>
      <c r="G37" s="53">
        <f>'6.3'!H21</f>
        <v>0.19900000000000001</v>
      </c>
      <c r="H37" s="234"/>
      <c r="I37" s="251"/>
      <c r="K37" s="2"/>
    </row>
    <row r="38" spans="1:13" x14ac:dyDescent="0.2">
      <c r="A38" t="str">
        <f t="shared" si="4"/>
        <v>1991</v>
      </c>
      <c r="B38" s="22"/>
      <c r="C38" s="103">
        <f>'[3]TICO 2'!S34</f>
        <v>46237136.859999999</v>
      </c>
      <c r="D38" s="82"/>
      <c r="E38" s="125">
        <f>'6.4'!E22+'6.5'!E22+'6.6'!E22+'6.7'!E22</f>
        <v>90400844.129767716</v>
      </c>
      <c r="F38" s="31"/>
      <c r="G38" s="53">
        <f>'6.3'!H22</f>
        <v>0.93700000000000006</v>
      </c>
      <c r="H38" s="234" t="s">
        <v>331</v>
      </c>
      <c r="I38" s="251"/>
      <c r="K38" s="2"/>
    </row>
    <row r="39" spans="1:13" x14ac:dyDescent="0.2">
      <c r="A39" t="str">
        <f t="shared" si="4"/>
        <v>1992</v>
      </c>
      <c r="B39" s="22"/>
      <c r="C39" s="103">
        <f>'[3]TICO 2'!S35</f>
        <v>44512572.190799996</v>
      </c>
      <c r="D39" s="82"/>
      <c r="E39" s="125">
        <f>'6.4'!E23+'6.5'!E23+'6.6'!E23+'6.7'!E23</f>
        <v>107296088.64441574</v>
      </c>
      <c r="F39" s="31"/>
      <c r="G39" s="53">
        <f>'6.3'!H23</f>
        <v>6.8000000000000005E-2</v>
      </c>
      <c r="H39" s="234" t="s">
        <v>331</v>
      </c>
      <c r="I39" s="251"/>
      <c r="K39" s="2"/>
    </row>
    <row r="40" spans="1:13" x14ac:dyDescent="0.2">
      <c r="A40" t="str">
        <f t="shared" si="4"/>
        <v>1993</v>
      </c>
      <c r="B40" s="22"/>
      <c r="C40" s="103">
        <f>'[3]TICO 2'!S36</f>
        <v>50741119.973000005</v>
      </c>
      <c r="D40" s="82"/>
      <c r="E40" s="125">
        <f>'6.4'!E24+'6.5'!E24+'6.6'!E24+'6.7'!E24</f>
        <v>168782896.39879707</v>
      </c>
      <c r="F40" s="31"/>
      <c r="G40" s="53">
        <f>'6.3'!H24</f>
        <v>8.1000000000000003E-2</v>
      </c>
      <c r="H40" s="234" t="s">
        <v>331</v>
      </c>
      <c r="I40" s="251"/>
      <c r="K40" s="2"/>
    </row>
    <row r="41" spans="1:13" x14ac:dyDescent="0.2">
      <c r="A41" t="str">
        <f t="shared" si="4"/>
        <v>1994</v>
      </c>
      <c r="C41" s="103">
        <f>'[3]TICO 2'!S37</f>
        <v>57584585.296999998</v>
      </c>
      <c r="D41" s="82"/>
      <c r="E41" s="125">
        <f>'6.4'!E25+'6.5'!E25+'6.6'!E25+'6.7'!E25</f>
        <v>169445140.9681153</v>
      </c>
      <c r="F41" s="31"/>
      <c r="G41" s="53">
        <f>'6.3'!H25</f>
        <v>4.2999999999999997E-2</v>
      </c>
      <c r="H41" s="234" t="s">
        <v>331</v>
      </c>
      <c r="I41" s="251"/>
      <c r="K41" s="2"/>
    </row>
    <row r="42" spans="1:13" x14ac:dyDescent="0.2">
      <c r="A42" t="str">
        <f t="shared" si="4"/>
        <v>1995</v>
      </c>
      <c r="C42" s="103">
        <f>'[3]TICO 2'!S38</f>
        <v>60740049.309</v>
      </c>
      <c r="D42" s="82"/>
      <c r="E42" s="125">
        <f>'6.4'!E26+'6.5'!E26+'6.6'!E26+'6.7'!E26</f>
        <v>158871316.39446712</v>
      </c>
      <c r="F42" s="31"/>
      <c r="G42" s="53">
        <f>'6.3'!H26</f>
        <v>6.8000000000000005E-2</v>
      </c>
      <c r="H42" s="234" t="s">
        <v>331</v>
      </c>
      <c r="I42" s="251"/>
      <c r="K42" s="2"/>
    </row>
    <row r="43" spans="1:13" x14ac:dyDescent="0.2">
      <c r="A43" t="str">
        <f t="shared" si="4"/>
        <v>1996</v>
      </c>
      <c r="C43" s="103">
        <f>'[3]TICO 2'!S39</f>
        <v>71865572.172890007</v>
      </c>
      <c r="D43" s="82"/>
      <c r="E43" s="125">
        <f>'6.4'!E27+'6.5'!E27+'6.6'!E27+'6.7'!E27</f>
        <v>169174051.32120347</v>
      </c>
      <c r="F43" s="31"/>
      <c r="G43" s="53">
        <f>'6.3'!H27</f>
        <v>3.9E-2</v>
      </c>
      <c r="H43" s="234" t="s">
        <v>331</v>
      </c>
      <c r="I43" s="251"/>
      <c r="K43" s="2"/>
    </row>
    <row r="44" spans="1:13" x14ac:dyDescent="0.2">
      <c r="A44" t="str">
        <f t="shared" si="4"/>
        <v>1997</v>
      </c>
      <c r="C44" s="103">
        <f>'[3]TICO 2'!S40</f>
        <v>79154547.157299995</v>
      </c>
      <c r="D44" s="82"/>
      <c r="E44" s="125">
        <f>'6.4'!E28+'6.5'!E28+'6.6'!E28+'6.7'!E28</f>
        <v>186332551.86653405</v>
      </c>
      <c r="F44" s="31"/>
      <c r="G44" s="53">
        <f>'6.3'!H28</f>
        <v>4.7E-2</v>
      </c>
      <c r="H44" s="234" t="s">
        <v>331</v>
      </c>
      <c r="I44" s="251"/>
      <c r="K44" s="2"/>
    </row>
    <row r="45" spans="1:13" x14ac:dyDescent="0.2">
      <c r="A45" t="str">
        <f t="shared" si="4"/>
        <v>1998</v>
      </c>
      <c r="C45" s="103">
        <f>'[3]TICO 2'!S41</f>
        <v>80238259.538599998</v>
      </c>
      <c r="D45" s="82"/>
      <c r="E45" s="125">
        <f>'6.4'!E29+'6.5'!E29+'6.6'!E29+'6.7'!E29</f>
        <v>188694953.06753844</v>
      </c>
      <c r="F45" s="31"/>
      <c r="G45" s="53">
        <f>'6.3'!H29</f>
        <v>0.21299999999999999</v>
      </c>
      <c r="H45" s="234" t="s">
        <v>331</v>
      </c>
      <c r="I45" s="251"/>
      <c r="K45" s="2"/>
    </row>
    <row r="46" spans="1:13" x14ac:dyDescent="0.2">
      <c r="A46" t="str">
        <f t="shared" si="4"/>
        <v>1999</v>
      </c>
      <c r="C46" s="103">
        <f>'[3]TICO 2'!S42</f>
        <v>71026551.584100008</v>
      </c>
      <c r="D46" s="82"/>
      <c r="E46" s="125">
        <f>'6.4'!E30+'6.5'!E30+'6.6'!E30+'6.7'!E30</f>
        <v>175094687.79983312</v>
      </c>
      <c r="F46" s="31"/>
      <c r="G46" s="53">
        <f>'6.3'!H30</f>
        <v>8.8999999999999996E-2</v>
      </c>
      <c r="H46" s="234" t="s">
        <v>80</v>
      </c>
      <c r="I46" s="251"/>
      <c r="K46" s="2"/>
      <c r="L46" t="s">
        <v>217</v>
      </c>
      <c r="M46" t="s">
        <v>218</v>
      </c>
    </row>
    <row r="47" spans="1:13" x14ac:dyDescent="0.2">
      <c r="A47" t="str">
        <f t="shared" si="4"/>
        <v>2000</v>
      </c>
      <c r="C47" s="103">
        <f>'[3]TICO 2'!S43</f>
        <v>75114173.962300003</v>
      </c>
      <c r="D47" s="209"/>
      <c r="E47" s="125">
        <f>'6.4'!E31+'6.5'!E31+'6.6'!E31+'6.7'!E31</f>
        <v>186657904.16415763</v>
      </c>
      <c r="F47" s="31"/>
      <c r="G47" s="53">
        <f>'6.3'!H31</f>
        <v>5.0999999999999997E-2</v>
      </c>
      <c r="H47" s="234" t="s">
        <v>331</v>
      </c>
      <c r="I47" s="251"/>
      <c r="K47" s="2"/>
      <c r="L47" s="86">
        <f>'6.4'!K$54</f>
        <v>43738</v>
      </c>
      <c r="M47" s="86">
        <f>'6.4'!L$54</f>
        <v>43830</v>
      </c>
    </row>
    <row r="48" spans="1:13" x14ac:dyDescent="0.2">
      <c r="A48" t="str">
        <f t="shared" si="4"/>
        <v>2001</v>
      </c>
      <c r="C48" s="103">
        <f>'[3]TICO 2'!S44</f>
        <v>74726401.208399996</v>
      </c>
      <c r="D48" s="209"/>
      <c r="E48" s="125">
        <f>'6.4'!E32+'6.5'!E32+'6.6'!E32+'6.7'!E32</f>
        <v>163169889.84088746</v>
      </c>
      <c r="F48" s="31"/>
      <c r="G48" s="53">
        <f>'6.3'!H32</f>
        <v>6.8000000000000005E-2</v>
      </c>
      <c r="H48" s="234" t="s">
        <v>331</v>
      </c>
      <c r="I48" s="251"/>
      <c r="K48" s="2"/>
    </row>
    <row r="49" spans="1:11" x14ac:dyDescent="0.2">
      <c r="A49" t="str">
        <f t="shared" si="4"/>
        <v>2002</v>
      </c>
      <c r="C49" s="103">
        <f>'[3]TICO 2'!S45</f>
        <v>86289350</v>
      </c>
      <c r="D49" s="209"/>
      <c r="E49" s="125">
        <f>'6.4'!E33+'6.5'!E33+'6.6'!E33+'6.7'!E33</f>
        <v>173710570.05616033</v>
      </c>
      <c r="F49" s="31"/>
      <c r="G49" s="53">
        <f>'6.3'!H33</f>
        <v>0.17199999999999999</v>
      </c>
      <c r="H49" s="234" t="s">
        <v>331</v>
      </c>
      <c r="I49" s="251"/>
      <c r="K49" s="2"/>
    </row>
    <row r="50" spans="1:11" x14ac:dyDescent="0.2">
      <c r="A50" t="str">
        <f t="shared" si="4"/>
        <v>2003</v>
      </c>
      <c r="C50" s="103">
        <f>'[3]TICO 2'!S46</f>
        <v>112200741</v>
      </c>
      <c r="D50" s="209"/>
      <c r="E50" s="125">
        <f>'6.4'!E34+'6.5'!E34+'6.6'!E34+'6.7'!E34</f>
        <v>225873235.71044844</v>
      </c>
      <c r="G50" s="53">
        <f>'6.3'!H34</f>
        <v>0.20100000000000001</v>
      </c>
      <c r="H50" s="234" t="s">
        <v>80</v>
      </c>
      <c r="I50" s="251"/>
      <c r="K50" s="2"/>
    </row>
    <row r="51" spans="1:11" x14ac:dyDescent="0.2">
      <c r="A51" t="str">
        <f t="shared" si="4"/>
        <v>2004</v>
      </c>
      <c r="C51" s="103">
        <f>'[3]TICO 2'!S47</f>
        <v>123050217</v>
      </c>
      <c r="D51" s="209"/>
      <c r="E51" s="125">
        <f>'6.4'!E35+'6.5'!E35+'6.6'!E35+'6.7'!E35</f>
        <v>236207042.34843534</v>
      </c>
      <c r="F51" s="60"/>
      <c r="G51" s="53">
        <f>'6.3'!H35</f>
        <v>1.7000000000000001E-2</v>
      </c>
      <c r="H51" s="234" t="s">
        <v>331</v>
      </c>
      <c r="I51" s="251"/>
      <c r="K51" s="2"/>
    </row>
    <row r="52" spans="1:11" x14ac:dyDescent="0.2">
      <c r="A52" t="str">
        <f t="shared" si="4"/>
        <v>2005</v>
      </c>
      <c r="C52" s="103">
        <f>'[3]TICO 2'!S48</f>
        <v>135380924</v>
      </c>
      <c r="D52" s="209"/>
      <c r="E52" s="125">
        <f>'6.4'!E36+'6.5'!E36+'6.6'!E36+'6.7'!E36</f>
        <v>248665747.95384526</v>
      </c>
      <c r="G52" s="53">
        <f>'6.3'!H36</f>
        <v>1.1160000000000001</v>
      </c>
      <c r="H52" s="234" t="s">
        <v>80</v>
      </c>
      <c r="I52" s="251"/>
      <c r="K52" s="2"/>
    </row>
    <row r="53" spans="1:11" x14ac:dyDescent="0.2">
      <c r="A53" s="50" t="str">
        <f t="shared" si="4"/>
        <v>2006</v>
      </c>
      <c r="B53" s="51"/>
      <c r="C53" s="103">
        <f>'[3]TICO 2'!S49</f>
        <v>154699767</v>
      </c>
      <c r="D53" s="209"/>
      <c r="E53" s="125">
        <f>'6.4'!E37+'6.5'!E37+'6.6'!E37+'6.7'!E37</f>
        <v>283468384.49484938</v>
      </c>
      <c r="F53" s="125"/>
      <c r="G53" s="53">
        <f>'6.3'!H37</f>
        <v>0.02</v>
      </c>
      <c r="H53" s="234" t="s">
        <v>331</v>
      </c>
      <c r="I53" s="251"/>
      <c r="K53" s="2"/>
    </row>
    <row r="54" spans="1:11" x14ac:dyDescent="0.2">
      <c r="A54" s="50" t="str">
        <f t="shared" si="4"/>
        <v>2007</v>
      </c>
      <c r="C54" s="103">
        <f>'[3]TICO 2'!S50</f>
        <v>219914305</v>
      </c>
      <c r="D54" s="209"/>
      <c r="E54" s="125">
        <f>'6.4'!E38+'6.5'!E38+'6.6'!E38+'6.7'!E38</f>
        <v>384632941.03010315</v>
      </c>
      <c r="G54" s="53">
        <f>'6.3'!H38</f>
        <v>5.0999999999999997E-2</v>
      </c>
      <c r="H54" s="234" t="s">
        <v>80</v>
      </c>
      <c r="I54" s="20"/>
      <c r="K54" s="2"/>
    </row>
    <row r="55" spans="1:11" x14ac:dyDescent="0.2">
      <c r="A55" s="50" t="str">
        <f t="shared" si="4"/>
        <v>2008</v>
      </c>
      <c r="C55" s="103">
        <f>'[3]TICO 2'!S51</f>
        <v>289558186</v>
      </c>
      <c r="D55" s="209"/>
      <c r="E55" s="125">
        <f>'6.4'!E39+'6.5'!E39+'6.6'!E39+'6.7'!E39</f>
        <v>477636240.60245597</v>
      </c>
      <c r="G55" s="53">
        <f>'6.3'!H39</f>
        <v>4.1989999999999998</v>
      </c>
      <c r="H55" s="234" t="s">
        <v>80</v>
      </c>
      <c r="I55" s="20"/>
      <c r="K55" s="2"/>
    </row>
    <row r="56" spans="1:11" x14ac:dyDescent="0.2">
      <c r="A56" s="50" t="str">
        <f t="shared" si="4"/>
        <v>2009</v>
      </c>
      <c r="C56" s="103">
        <f>'[3]TICO 2'!S52</f>
        <v>327305758</v>
      </c>
      <c r="D56" s="209"/>
      <c r="E56" s="125">
        <f>'6.4'!E40+'6.5'!E40+'6.6'!E40+'6.7'!E40</f>
        <v>490534994.9272626</v>
      </c>
      <c r="G56" s="53">
        <f>'6.3'!H40</f>
        <v>1.9E-2</v>
      </c>
      <c r="H56" s="234"/>
      <c r="I56" s="62"/>
      <c r="K56" s="2"/>
    </row>
    <row r="57" spans="1:11" x14ac:dyDescent="0.2">
      <c r="A57" s="50" t="str">
        <f t="shared" si="4"/>
        <v>2010</v>
      </c>
      <c r="C57" s="103">
        <f>'[3]TICO 2'!S53</f>
        <v>355219215</v>
      </c>
      <c r="D57" s="209"/>
      <c r="E57" s="125">
        <f>'6.4'!E41+'6.5'!E41+'6.6'!E41+'6.7'!E41</f>
        <v>499964244.13406676</v>
      </c>
      <c r="G57" s="53">
        <f>'6.3'!H41</f>
        <v>3.7999999999999999E-2</v>
      </c>
      <c r="H57" s="234"/>
      <c r="I57" s="62"/>
      <c r="K57" s="2"/>
    </row>
    <row r="58" spans="1:11" x14ac:dyDescent="0.2">
      <c r="A58" s="50" t="str">
        <f t="shared" si="4"/>
        <v>2011</v>
      </c>
      <c r="C58" s="103">
        <f>'[3]TICO 2'!S54</f>
        <v>370875863</v>
      </c>
      <c r="D58" s="209"/>
      <c r="E58" s="125">
        <f>'6.4'!E42+'6.5'!E42+'6.6'!E42+'6.7'!E42</f>
        <v>509107481.73026603</v>
      </c>
      <c r="G58" s="53">
        <f>'6.3'!H42</f>
        <v>0.185</v>
      </c>
      <c r="H58" s="234" t="s">
        <v>331</v>
      </c>
      <c r="I58" s="62"/>
      <c r="K58" s="2"/>
    </row>
    <row r="59" spans="1:11" x14ac:dyDescent="0.2">
      <c r="A59" s="50" t="str">
        <f t="shared" si="4"/>
        <v>2012</v>
      </c>
      <c r="B59" s="50"/>
      <c r="C59" s="103">
        <f>'[3]TICO 2'!S55</f>
        <v>406981851</v>
      </c>
      <c r="D59" s="209"/>
      <c r="E59" s="125">
        <f>'6.4'!E43+'6.5'!E43+'6.6'!E43+'6.7'!E43</f>
        <v>532077164.16692668</v>
      </c>
      <c r="F59" s="50"/>
      <c r="G59" s="53">
        <f>'6.3'!H43</f>
        <v>0.13700000000000001</v>
      </c>
      <c r="H59" s="235"/>
      <c r="I59" s="20"/>
      <c r="K59" s="2"/>
    </row>
    <row r="60" spans="1:11" x14ac:dyDescent="0.2">
      <c r="A60" s="50" t="str">
        <f t="shared" si="4"/>
        <v>2013</v>
      </c>
      <c r="B60" s="50"/>
      <c r="C60" s="103">
        <f>'[3]TICO 2'!S56</f>
        <v>440952159</v>
      </c>
      <c r="D60" s="222"/>
      <c r="E60" s="125">
        <f>'6.4'!E44+'6.5'!E44+'6.6'!E44+'6.7'!E44</f>
        <v>549111155.1242429</v>
      </c>
      <c r="F60" s="50"/>
      <c r="G60" s="53">
        <f>'6.3'!H44</f>
        <v>0.17199999999999999</v>
      </c>
      <c r="H60" s="234" t="s">
        <v>331</v>
      </c>
      <c r="I60" s="62"/>
      <c r="K60" s="2"/>
    </row>
    <row r="61" spans="1:11" x14ac:dyDescent="0.2">
      <c r="A61" s="50" t="str">
        <f t="shared" si="4"/>
        <v>2014</v>
      </c>
      <c r="B61" s="50"/>
      <c r="C61" s="103">
        <f>'[3]TICO 2'!S57</f>
        <v>477983216</v>
      </c>
      <c r="D61" s="222"/>
      <c r="E61" s="125">
        <f>'6.4'!E45+'6.5'!E45+'6.6'!E45+'6.7'!E45</f>
        <v>567000312.45500708</v>
      </c>
      <c r="F61" s="50"/>
      <c r="G61" s="53">
        <f>'6.3'!H45</f>
        <v>2.3E-2</v>
      </c>
      <c r="H61" s="234"/>
      <c r="I61" s="62"/>
      <c r="K61" s="2"/>
    </row>
    <row r="62" spans="1:11" x14ac:dyDescent="0.2">
      <c r="A62" s="50" t="str">
        <f t="shared" si="4"/>
        <v>2015</v>
      </c>
      <c r="B62" s="50"/>
      <c r="C62" s="103">
        <f>'[3]TICO 2'!S58</f>
        <v>517579765</v>
      </c>
      <c r="D62" s="222"/>
      <c r="E62" s="125">
        <f>'6.4'!E46+'6.5'!E46+'6.6'!E46+'6.7'!E46</f>
        <v>584847630.32357705</v>
      </c>
      <c r="F62" s="50"/>
      <c r="G62" s="53">
        <f>'6.3'!H46</f>
        <v>0.24348600000000001</v>
      </c>
      <c r="H62" s="235"/>
      <c r="I62" s="169"/>
      <c r="K62" s="2"/>
    </row>
    <row r="63" spans="1:11" x14ac:dyDescent="0.2">
      <c r="A63" s="50" t="str">
        <f t="shared" si="4"/>
        <v>2016</v>
      </c>
      <c r="B63" s="50"/>
      <c r="C63" s="103">
        <f>'[3]TICO 2'!S59</f>
        <v>541982800</v>
      </c>
      <c r="D63" s="222"/>
      <c r="E63" s="125">
        <f>'6.4'!E47+'6.5'!E47+'6.6'!E47+'6.7'!E47</f>
        <v>583476869.03160226</v>
      </c>
      <c r="F63" s="50"/>
      <c r="G63" s="53">
        <f>'6.3'!H47</f>
        <v>8.677399999999999E-2</v>
      </c>
      <c r="H63" s="235"/>
      <c r="I63" s="50"/>
      <c r="K63" s="2"/>
    </row>
    <row r="64" spans="1:11" x14ac:dyDescent="0.2">
      <c r="A64" s="51">
        <v>2017</v>
      </c>
      <c r="B64" s="50"/>
      <c r="C64" s="103">
        <f>'[3]TICO 2'!S60</f>
        <v>533284592</v>
      </c>
      <c r="D64" s="222"/>
      <c r="E64" s="125">
        <f>'6.4'!E48+'6.5'!E48+'6.6'!E48+'6.7'!E48</f>
        <v>559948821.95000052</v>
      </c>
      <c r="F64" s="50"/>
      <c r="G64" s="53">
        <f>'6.3'!H48</f>
        <v>2.2394879999999997</v>
      </c>
      <c r="H64" s="235" t="s">
        <v>80</v>
      </c>
      <c r="I64" s="50"/>
      <c r="K64" s="2"/>
    </row>
    <row r="65" spans="1:11" x14ac:dyDescent="0.2">
      <c r="A65" s="51">
        <v>2018</v>
      </c>
      <c r="B65" s="50"/>
      <c r="C65" s="103">
        <f>'[3]TICO 2'!S61</f>
        <v>516732311</v>
      </c>
      <c r="D65" s="222"/>
      <c r="E65" s="125">
        <f>'6.4'!E49+'6.5'!E49+'6.6'!E49+'6.7'!E49</f>
        <v>529931693.41623127</v>
      </c>
      <c r="F65" s="50"/>
      <c r="G65" s="53">
        <f>'6.3'!H49</f>
        <v>3.7624999999999999E-2</v>
      </c>
      <c r="H65" s="235"/>
      <c r="I65" s="50"/>
      <c r="K65" s="2"/>
    </row>
    <row r="66" spans="1:11" x14ac:dyDescent="0.2">
      <c r="A66" s="51">
        <v>2019</v>
      </c>
      <c r="B66" s="50"/>
      <c r="C66" s="103">
        <f>'[3]TICO 2'!S62</f>
        <v>509619292</v>
      </c>
      <c r="D66" s="222"/>
      <c r="E66" s="125">
        <f>'6.4'!E50+'6.5'!E50+'6.6'!E50+'6.7'!E50</f>
        <v>509619291.99999881</v>
      </c>
      <c r="F66" s="50"/>
      <c r="G66" s="53">
        <f>'6.3'!H50</f>
        <v>6.6851999999999995E-2</v>
      </c>
      <c r="H66" s="235"/>
      <c r="I66" s="50"/>
      <c r="K66" s="2"/>
    </row>
    <row r="67" spans="1:11" x14ac:dyDescent="0.2">
      <c r="A67" s="51"/>
      <c r="B67" s="50"/>
      <c r="C67" s="103"/>
      <c r="D67" s="222"/>
      <c r="E67" s="125"/>
      <c r="F67" s="50"/>
      <c r="G67" s="53"/>
      <c r="H67" s="235"/>
      <c r="I67" s="50"/>
      <c r="K67" s="2"/>
    </row>
    <row r="68" spans="1:11" x14ac:dyDescent="0.2">
      <c r="A68" t="s">
        <v>30</v>
      </c>
      <c r="C68" s="33">
        <f>SUM(C16:C66)</f>
        <v>7371106199.2533903</v>
      </c>
      <c r="D68" s="33">
        <f>SUM(D16:D66)</f>
        <v>246350566</v>
      </c>
      <c r="E68" s="33">
        <f>SUM(E16:E66)</f>
        <v>10859586518.920856</v>
      </c>
      <c r="F68" s="60"/>
      <c r="G68" s="29">
        <f>ROUND(AVERAGE(G13:G66),3)</f>
        <v>0.376</v>
      </c>
      <c r="K68" s="2"/>
    </row>
    <row r="69" spans="1:11" x14ac:dyDescent="0.2">
      <c r="A69" t="s">
        <v>129</v>
      </c>
      <c r="C69" s="60"/>
      <c r="D69" s="60"/>
      <c r="E69" s="60"/>
      <c r="F69" s="60"/>
      <c r="G69" s="29">
        <f>ROUND(SUMIF(H13:H66,"&lt;&gt;H",G13:G66)/COUNTIF(H13:H66,"&lt;&gt;H"),3)</f>
        <v>0.105</v>
      </c>
      <c r="K69" s="2"/>
    </row>
    <row r="70" spans="1:11" ht="12" thickBot="1" x14ac:dyDescent="0.25">
      <c r="A70" s="6" t="s">
        <v>73</v>
      </c>
      <c r="B70" s="6"/>
      <c r="C70" s="6"/>
      <c r="D70" s="6"/>
      <c r="E70" s="6"/>
      <c r="F70" s="6"/>
      <c r="G70" s="289">
        <f>ROUND(AVERAGE(G69:G69),3)</f>
        <v>0.105</v>
      </c>
      <c r="K70" s="2"/>
    </row>
    <row r="71" spans="1:11" ht="12" hidden="1" thickBot="1" x14ac:dyDescent="0.25">
      <c r="A71" s="6"/>
      <c r="B71" s="6"/>
      <c r="C71" s="6"/>
      <c r="D71" s="6"/>
      <c r="E71" s="6"/>
      <c r="F71" s="6"/>
      <c r="G71" s="6"/>
      <c r="K71" s="2"/>
    </row>
    <row r="72" spans="1:11" ht="12" thickTop="1" x14ac:dyDescent="0.2">
      <c r="A72" t="s">
        <v>17</v>
      </c>
      <c r="B72" s="22" t="str">
        <f>C11&amp;", "&amp;D11&amp;" Provided by TDI.  Accident years ending "&amp;TEXT($L$47,"m/d/xx")&amp;" as of "&amp;TEXT($M$47,"m/d/yyyy")</f>
        <v>(2), (3) Provided by TDI.  Accident years ending 9/30/xx as of 12/31/2019</v>
      </c>
      <c r="I72" s="50"/>
      <c r="K72" s="2"/>
    </row>
    <row r="73" spans="1:11" x14ac:dyDescent="0.2">
      <c r="B73" s="22" t="str">
        <f>E11&amp;" "&amp;A30&amp;" - "&amp;A66&amp;": Sum of "&amp;'6.4'!$I$1&amp;", "&amp;'6.4'!$I$2&amp;" - "&amp;'6.7'!$I$2&amp;", "&amp;'6.4'!E12&amp;"; "&amp;A13&amp;" - "&amp;A29&amp;": "&amp;D11&amp;" * "&amp;TEXT('6.4'!$K$14,"0.0")</f>
        <v>(4) 1983 - 2019: Sum of Exhibit 6, Sheet 4 - Sheet 7, (4); 1966 - 1982: (3) * 2.1</v>
      </c>
      <c r="F73" s="45"/>
      <c r="K73" s="2"/>
    </row>
    <row r="74" spans="1:11" x14ac:dyDescent="0.2">
      <c r="B74" s="22" t="str">
        <f>F11&amp;" Provided by TDI.  Accident years ending "&amp;TEXT($L$47,"m/d/xx")&amp;" as of 12/31/2010"</f>
        <v>(5) Provided by TDI.  Accident years ending 9/30/xx as of 12/31/2010</v>
      </c>
      <c r="D74" s="22"/>
      <c r="K74" s="2"/>
    </row>
    <row r="75" spans="1:11" x14ac:dyDescent="0.2">
      <c r="B75" s="22" t="str">
        <f>G11&amp;" "&amp;A30&amp;" - "&amp;A66&amp;": "&amp;'6.3'!$I$1&amp;", "&amp;'6.3'!$I$2&amp;"; "&amp;A13&amp;" - "&amp;A29&amp;": "&amp;F11&amp;" / "&amp;E11</f>
        <v>(6) 1983 - 2019: Exhibit 6, Sheet 3; 1966 - 1982: (5) / (4)</v>
      </c>
      <c r="C75" s="60"/>
      <c r="D75" s="60"/>
      <c r="E75" s="60"/>
      <c r="K75" s="2"/>
    </row>
    <row r="76" spans="1:11" ht="12" thickBot="1" x14ac:dyDescent="0.25">
      <c r="B76" t="str">
        <f>H11&amp;" ""H"" indicates occurrence of hurricane(s) during the time period (years ending "&amp;TEXT($L$47,"m/d/xx")&amp;")"</f>
        <v>(7) "H" indicates occurrence of hurricane(s) during the time period (years ending 9/30/xx)</v>
      </c>
      <c r="K76" s="2"/>
    </row>
    <row r="77" spans="1:11" ht="12" thickBot="1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3"/>
    </row>
  </sheetData>
  <phoneticPr fontId="0" type="noConversion"/>
  <pageMargins left="0.5" right="0.5" top="0.5" bottom="0" header="0.5" footer="0.25"/>
  <pageSetup scale="98"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rgb="FF92D050"/>
    <pageSetUpPr fitToPage="1"/>
  </sheetPr>
  <dimension ref="A1:K72"/>
  <sheetViews>
    <sheetView showGridLines="0" workbookViewId="0">
      <selection activeCell="C73" sqref="C73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</cols>
  <sheetData>
    <row r="1" spans="1:11" x14ac:dyDescent="0.2">
      <c r="A1" s="8" t="str">
        <f>'1'!$A$1</f>
        <v>Texas Windstorm Insurance Association</v>
      </c>
      <c r="B1" s="12"/>
      <c r="I1" s="7" t="s">
        <v>106</v>
      </c>
      <c r="J1" s="1"/>
    </row>
    <row r="2" spans="1:11" x14ac:dyDescent="0.2">
      <c r="A2" s="8" t="str">
        <f>'1'!$A$2</f>
        <v>Residential Property - Wind &amp; Hail</v>
      </c>
      <c r="B2" s="12"/>
      <c r="I2" s="7" t="s">
        <v>88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107</v>
      </c>
      <c r="B4" s="12"/>
      <c r="J4" s="2"/>
    </row>
    <row r="5" spans="1:11" x14ac:dyDescent="0.2">
      <c r="B5" s="12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H7" s="6"/>
      <c r="I7" s="296"/>
      <c r="J7" s="2"/>
    </row>
    <row r="8" spans="1:11" ht="12" thickTop="1" x14ac:dyDescent="0.2">
      <c r="J8" s="2"/>
    </row>
    <row r="9" spans="1:11" x14ac:dyDescent="0.2">
      <c r="C9" s="24" t="s">
        <v>134</v>
      </c>
      <c r="J9" s="2"/>
      <c r="K9" s="27"/>
    </row>
    <row r="10" spans="1:11" x14ac:dyDescent="0.2">
      <c r="A10" t="s">
        <v>53</v>
      </c>
      <c r="G10" t="s">
        <v>133</v>
      </c>
      <c r="H10" s="60" t="s">
        <v>343</v>
      </c>
      <c r="I10" s="60"/>
      <c r="J10" s="2"/>
      <c r="K10" s="22">
        <v>1.01</v>
      </c>
    </row>
    <row r="11" spans="1:11" x14ac:dyDescent="0.2">
      <c r="A11" s="9" t="s">
        <v>54</v>
      </c>
      <c r="B11" s="9"/>
      <c r="C11" s="9" t="s">
        <v>130</v>
      </c>
      <c r="D11" s="9" t="s">
        <v>131</v>
      </c>
      <c r="E11" s="9" t="s">
        <v>132</v>
      </c>
      <c r="F11" s="9" t="s">
        <v>24</v>
      </c>
      <c r="G11" s="9" t="s">
        <v>78</v>
      </c>
      <c r="H11" s="187" t="s">
        <v>342</v>
      </c>
      <c r="I11" s="311"/>
      <c r="J11" s="2"/>
      <c r="K11" s="5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312" t="s">
        <v>123</v>
      </c>
      <c r="I12" s="60"/>
      <c r="J12" s="2"/>
    </row>
    <row r="13" spans="1:11" x14ac:dyDescent="0.2">
      <c r="H13" s="60"/>
      <c r="I13" s="60"/>
      <c r="J13" s="2"/>
    </row>
    <row r="14" spans="1:11" x14ac:dyDescent="0.2">
      <c r="A14" s="191">
        <v>1983</v>
      </c>
      <c r="C14" s="61">
        <f>'6.4'!G14</f>
        <v>12.836</v>
      </c>
      <c r="D14" s="61">
        <f>'6.5'!G14</f>
        <v>7.5361927213726823E-2</v>
      </c>
      <c r="E14" s="61">
        <f>'6.6'!G14</f>
        <v>1.7377887588583629</v>
      </c>
      <c r="F14" s="61">
        <f>'6.7'!G14</f>
        <v>1.771630391229825</v>
      </c>
      <c r="G14" s="23">
        <f t="shared" ref="G14:G50" si="0">ROUND(SUMPRODUCT(C14:F14,$C$59:$F$59)/$G$59,3)</f>
        <v>5.2480000000000002</v>
      </c>
      <c r="H14" s="29">
        <f t="shared" ref="H14:H39" si="1">G14</f>
        <v>5.2480000000000002</v>
      </c>
      <c r="I14" s="60"/>
      <c r="J14" s="2"/>
    </row>
    <row r="15" spans="1:11" x14ac:dyDescent="0.2">
      <c r="A15" t="str">
        <f>TEXT(A14+1,"#")</f>
        <v>1984</v>
      </c>
      <c r="C15" s="61">
        <f>'6.4'!G15</f>
        <v>3.9E-2</v>
      </c>
      <c r="D15" s="61">
        <f>'6.5'!G15</f>
        <v>7.1131331874026982E-2</v>
      </c>
      <c r="E15" s="61">
        <f>'6.6'!G15</f>
        <v>0.25358629414447104</v>
      </c>
      <c r="F15" s="61">
        <f>'6.7'!G15</f>
        <v>0.40375638179765827</v>
      </c>
      <c r="G15" s="23">
        <f t="shared" si="0"/>
        <v>0.14799999999999999</v>
      </c>
      <c r="H15" s="29">
        <f t="shared" si="1"/>
        <v>0.14799999999999999</v>
      </c>
      <c r="I15" s="60"/>
      <c r="J15" s="2"/>
    </row>
    <row r="16" spans="1:11" x14ac:dyDescent="0.2">
      <c r="A16" t="str">
        <f t="shared" ref="A16:A46" si="2">TEXT(A15+1,"#")</f>
        <v>1985</v>
      </c>
      <c r="C16" s="61">
        <f>'6.4'!G16</f>
        <v>0.02</v>
      </c>
      <c r="D16" s="61">
        <f>'6.5'!G16</f>
        <v>8.7015675274727311E-2</v>
      </c>
      <c r="E16" s="61">
        <f>'6.6'!G16</f>
        <v>8.4665611450317022E-2</v>
      </c>
      <c r="F16" s="61">
        <f>'6.7'!G16</f>
        <v>0.13490412368535912</v>
      </c>
      <c r="G16" s="23">
        <f t="shared" si="0"/>
        <v>6.4000000000000001E-2</v>
      </c>
      <c r="H16" s="29">
        <f t="shared" si="1"/>
        <v>6.4000000000000001E-2</v>
      </c>
      <c r="I16" s="60"/>
      <c r="J16" s="2"/>
    </row>
    <row r="17" spans="1:10" x14ac:dyDescent="0.2">
      <c r="A17" t="str">
        <f t="shared" si="2"/>
        <v>1986</v>
      </c>
      <c r="C17" s="61">
        <f>'6.4'!G17</f>
        <v>1.2999999999999999E-2</v>
      </c>
      <c r="D17" s="61">
        <f>'6.5'!G17</f>
        <v>0.03</v>
      </c>
      <c r="E17" s="61">
        <f>'6.6'!G17</f>
        <v>0.223</v>
      </c>
      <c r="F17" s="61">
        <f>'6.7'!G17</f>
        <v>0.14799999999999999</v>
      </c>
      <c r="G17" s="23">
        <f t="shared" si="0"/>
        <v>0.114</v>
      </c>
      <c r="H17" s="29">
        <f t="shared" si="1"/>
        <v>0.114</v>
      </c>
      <c r="I17" s="60"/>
      <c r="J17" s="2"/>
    </row>
    <row r="18" spans="1:10" x14ac:dyDescent="0.2">
      <c r="A18" t="str">
        <f t="shared" si="2"/>
        <v>1987</v>
      </c>
      <c r="C18" s="61">
        <f>'6.4'!G18</f>
        <v>7.0000000000000001E-3</v>
      </c>
      <c r="D18" s="61">
        <f>'6.5'!G18</f>
        <v>4.2999999999999997E-2</v>
      </c>
      <c r="E18" s="61">
        <f>'6.6'!G18</f>
        <v>3.9E-2</v>
      </c>
      <c r="F18" s="61">
        <f>'6.7'!G18</f>
        <v>7.6999999999999999E-2</v>
      </c>
      <c r="G18" s="23">
        <f t="shared" si="0"/>
        <v>2.9000000000000001E-2</v>
      </c>
      <c r="H18" s="29">
        <f t="shared" si="1"/>
        <v>2.9000000000000001E-2</v>
      </c>
      <c r="I18" s="60"/>
      <c r="J18" s="2"/>
    </row>
    <row r="19" spans="1:10" x14ac:dyDescent="0.2">
      <c r="A19" t="str">
        <f t="shared" si="2"/>
        <v>1988</v>
      </c>
      <c r="C19" s="61">
        <f>'6.4'!G19</f>
        <v>5.8000000000000003E-2</v>
      </c>
      <c r="D19" s="61">
        <f>'6.5'!G19</f>
        <v>7.1999999999999995E-2</v>
      </c>
      <c r="E19" s="61">
        <f>'6.6'!G19</f>
        <v>0.188</v>
      </c>
      <c r="F19" s="61">
        <f>'6.7'!G19</f>
        <v>7.5999999999999998E-2</v>
      </c>
      <c r="G19" s="23">
        <f t="shared" si="0"/>
        <v>0.12</v>
      </c>
      <c r="H19" s="29">
        <f t="shared" si="1"/>
        <v>0.12</v>
      </c>
      <c r="I19" s="60"/>
      <c r="J19" s="2"/>
    </row>
    <row r="20" spans="1:10" x14ac:dyDescent="0.2">
      <c r="A20" t="str">
        <f t="shared" si="2"/>
        <v>1989</v>
      </c>
      <c r="C20" s="61">
        <f>'6.4'!G20</f>
        <v>6.3E-2</v>
      </c>
      <c r="D20" s="61">
        <f>'6.5'!G20</f>
        <v>6.6000000000000003E-2</v>
      </c>
      <c r="E20" s="61">
        <f>'6.6'!G20</f>
        <v>9.5000000000000001E-2</v>
      </c>
      <c r="F20" s="61">
        <f>'6.7'!G20</f>
        <v>0.17699999999999999</v>
      </c>
      <c r="G20" s="23">
        <f t="shared" si="0"/>
        <v>0.08</v>
      </c>
      <c r="H20" s="29">
        <f t="shared" si="1"/>
        <v>0.08</v>
      </c>
      <c r="I20" s="60"/>
      <c r="J20" s="2"/>
    </row>
    <row r="21" spans="1:10" x14ac:dyDescent="0.2">
      <c r="A21" t="str">
        <f t="shared" si="2"/>
        <v>1990</v>
      </c>
      <c r="C21" s="61">
        <f>'6.4'!G21</f>
        <v>0.33900000000000002</v>
      </c>
      <c r="D21" s="61">
        <f>'6.5'!G21</f>
        <v>0.122</v>
      </c>
      <c r="E21" s="61">
        <f>'6.6'!G21</f>
        <v>0.124</v>
      </c>
      <c r="F21" s="61">
        <f>'6.7'!G21</f>
        <v>0.25</v>
      </c>
      <c r="G21" s="23">
        <f t="shared" si="0"/>
        <v>0.19900000000000001</v>
      </c>
      <c r="H21" s="29">
        <f t="shared" si="1"/>
        <v>0.19900000000000001</v>
      </c>
      <c r="I21" s="60"/>
      <c r="J21" s="2"/>
    </row>
    <row r="22" spans="1:10" x14ac:dyDescent="0.2">
      <c r="A22" t="str">
        <f t="shared" si="2"/>
        <v>1991</v>
      </c>
      <c r="C22" s="61">
        <f>'6.4'!G22</f>
        <v>0.78200000000000003</v>
      </c>
      <c r="D22" s="61">
        <f>'6.5'!G22</f>
        <v>0.17199999999999999</v>
      </c>
      <c r="E22" s="61">
        <f>'6.6'!G22</f>
        <v>1.385</v>
      </c>
      <c r="F22" s="61">
        <f>'6.7'!G22</f>
        <v>0.20599999999999999</v>
      </c>
      <c r="G22" s="23">
        <f t="shared" si="0"/>
        <v>0.93700000000000006</v>
      </c>
      <c r="H22" s="29">
        <f t="shared" si="1"/>
        <v>0.93700000000000006</v>
      </c>
      <c r="I22" s="60"/>
      <c r="J22" s="2"/>
    </row>
    <row r="23" spans="1:10" x14ac:dyDescent="0.2">
      <c r="A23" t="str">
        <f t="shared" si="2"/>
        <v>1992</v>
      </c>
      <c r="B23" s="22"/>
      <c r="C23" s="61">
        <f>'6.4'!G23</f>
        <v>1.2999999999999999E-2</v>
      </c>
      <c r="D23" s="61">
        <f>'6.5'!G23</f>
        <v>0.124</v>
      </c>
      <c r="E23" s="61">
        <f>'6.6'!G23</f>
        <v>8.4000000000000005E-2</v>
      </c>
      <c r="F23" s="61">
        <f>'6.7'!G23</f>
        <v>0.19</v>
      </c>
      <c r="G23" s="23">
        <f t="shared" si="0"/>
        <v>6.8000000000000005E-2</v>
      </c>
      <c r="H23" s="29">
        <f t="shared" si="1"/>
        <v>6.8000000000000005E-2</v>
      </c>
      <c r="I23" s="60"/>
      <c r="J23" s="2"/>
    </row>
    <row r="24" spans="1:10" x14ac:dyDescent="0.2">
      <c r="A24" t="str">
        <f t="shared" si="2"/>
        <v>1993</v>
      </c>
      <c r="B24" s="22"/>
      <c r="C24" s="61">
        <f>'6.4'!G24</f>
        <v>9.8000000000000004E-2</v>
      </c>
      <c r="D24" s="61">
        <f>'6.5'!G24</f>
        <v>8.6999999999999994E-2</v>
      </c>
      <c r="E24" s="61">
        <f>'6.6'!G24</f>
        <v>6.3E-2</v>
      </c>
      <c r="F24" s="61">
        <f>'6.7'!G24</f>
        <v>0.16900000000000001</v>
      </c>
      <c r="G24" s="23">
        <f t="shared" si="0"/>
        <v>8.1000000000000003E-2</v>
      </c>
      <c r="H24" s="29">
        <f t="shared" si="1"/>
        <v>8.1000000000000003E-2</v>
      </c>
      <c r="I24" s="60"/>
      <c r="J24" s="2"/>
    </row>
    <row r="25" spans="1:10" x14ac:dyDescent="0.2">
      <c r="A25" t="str">
        <f t="shared" si="2"/>
        <v>1994</v>
      </c>
      <c r="B25" s="22"/>
      <c r="C25" s="61">
        <f>'6.4'!G25</f>
        <v>0.02</v>
      </c>
      <c r="D25" s="61">
        <f>'6.5'!G25</f>
        <v>5.0999999999999997E-2</v>
      </c>
      <c r="E25" s="61">
        <f>'6.6'!G25</f>
        <v>5.7000000000000002E-2</v>
      </c>
      <c r="F25" s="61">
        <f>'6.7'!G25</f>
        <v>6.7000000000000004E-2</v>
      </c>
      <c r="G25" s="23">
        <f t="shared" si="0"/>
        <v>4.2999999999999997E-2</v>
      </c>
      <c r="H25" s="29">
        <f t="shared" si="1"/>
        <v>4.2999999999999997E-2</v>
      </c>
      <c r="I25" s="60"/>
      <c r="J25" s="2"/>
    </row>
    <row r="26" spans="1:10" x14ac:dyDescent="0.2">
      <c r="A26" t="str">
        <f t="shared" si="2"/>
        <v>1995</v>
      </c>
      <c r="C26" s="61">
        <f>'6.4'!G26</f>
        <v>2.8000000000000001E-2</v>
      </c>
      <c r="D26" s="61">
        <f>'6.5'!G26</f>
        <v>8.5999999999999993E-2</v>
      </c>
      <c r="E26" s="61">
        <f>'6.6'!G26</f>
        <v>8.5999999999999993E-2</v>
      </c>
      <c r="F26" s="61">
        <f>'6.7'!G26</f>
        <v>0.22500000000000001</v>
      </c>
      <c r="G26" s="23">
        <f t="shared" si="0"/>
        <v>6.8000000000000005E-2</v>
      </c>
      <c r="H26" s="29">
        <f t="shared" si="1"/>
        <v>6.8000000000000005E-2</v>
      </c>
      <c r="I26" s="60"/>
      <c r="J26" s="2"/>
    </row>
    <row r="27" spans="1:10" x14ac:dyDescent="0.2">
      <c r="A27" t="str">
        <f t="shared" si="2"/>
        <v>1996</v>
      </c>
      <c r="C27" s="61">
        <f>'6.4'!G27</f>
        <v>1.4999999999999999E-2</v>
      </c>
      <c r="D27" s="61">
        <f>'6.5'!G27</f>
        <v>5.2999999999999999E-2</v>
      </c>
      <c r="E27" s="61">
        <f>'6.6'!G27</f>
        <v>4.9000000000000002E-2</v>
      </c>
      <c r="F27" s="61">
        <f>'6.7'!G27</f>
        <v>0.1</v>
      </c>
      <c r="G27" s="23">
        <f t="shared" si="0"/>
        <v>3.9E-2</v>
      </c>
      <c r="H27" s="29">
        <f t="shared" si="1"/>
        <v>3.9E-2</v>
      </c>
      <c r="I27" s="60"/>
      <c r="J27" s="2"/>
    </row>
    <row r="28" spans="1:10" x14ac:dyDescent="0.2">
      <c r="A28" t="str">
        <f t="shared" si="2"/>
        <v>1997</v>
      </c>
      <c r="C28" s="61">
        <f>'6.4'!G28</f>
        <v>1.9E-2</v>
      </c>
      <c r="D28" s="61">
        <f>'6.5'!G28</f>
        <v>4.3999999999999997E-2</v>
      </c>
      <c r="E28" s="61">
        <f>'6.6'!G28</f>
        <v>6.9000000000000006E-2</v>
      </c>
      <c r="F28" s="61">
        <f>'6.7'!G28</f>
        <v>8.5000000000000006E-2</v>
      </c>
      <c r="G28" s="23">
        <f t="shared" si="0"/>
        <v>4.7E-2</v>
      </c>
      <c r="H28" s="29">
        <f t="shared" si="1"/>
        <v>4.7E-2</v>
      </c>
      <c r="I28" s="60"/>
      <c r="J28" s="2"/>
    </row>
    <row r="29" spans="1:10" x14ac:dyDescent="0.2">
      <c r="A29" t="str">
        <f t="shared" si="2"/>
        <v>1998</v>
      </c>
      <c r="C29" s="61">
        <f>'6.4'!G29</f>
        <v>0.19600000000000001</v>
      </c>
      <c r="D29" s="61">
        <f>'6.5'!G29</f>
        <v>0.111</v>
      </c>
      <c r="E29" s="61">
        <f>'6.6'!G29</f>
        <v>0.27100000000000002</v>
      </c>
      <c r="F29" s="61">
        <f>'6.7'!G29</f>
        <v>0.104</v>
      </c>
      <c r="G29" s="23">
        <f t="shared" si="0"/>
        <v>0.21299999999999999</v>
      </c>
      <c r="H29" s="29">
        <f t="shared" si="1"/>
        <v>0.21299999999999999</v>
      </c>
      <c r="I29" s="60"/>
      <c r="J29" s="2"/>
    </row>
    <row r="30" spans="1:10" x14ac:dyDescent="0.2">
      <c r="A30" t="str">
        <f t="shared" si="2"/>
        <v>1999</v>
      </c>
      <c r="C30" s="61">
        <f>'6.4'!G30</f>
        <v>2.1000000000000001E-2</v>
      </c>
      <c r="D30" s="61">
        <f>'6.5'!G30</f>
        <v>0.18099999999999999</v>
      </c>
      <c r="E30" s="61">
        <f>'6.6'!G30</f>
        <v>0.10299999999999999</v>
      </c>
      <c r="F30" s="61">
        <f>'6.7'!G30</f>
        <v>0.104</v>
      </c>
      <c r="G30" s="23">
        <f t="shared" si="0"/>
        <v>8.8999999999999996E-2</v>
      </c>
      <c r="H30" s="29">
        <f t="shared" si="1"/>
        <v>8.8999999999999996E-2</v>
      </c>
      <c r="I30" s="60"/>
      <c r="J30" s="2"/>
    </row>
    <row r="31" spans="1:10" x14ac:dyDescent="0.2">
      <c r="A31" t="str">
        <f t="shared" si="2"/>
        <v>2000</v>
      </c>
      <c r="C31" s="61">
        <f>'6.4'!G31</f>
        <v>8.0000000000000002E-3</v>
      </c>
      <c r="D31" s="61">
        <f>'6.5'!G31</f>
        <v>2.3E-2</v>
      </c>
      <c r="E31" s="61">
        <f>'6.6'!G31</f>
        <v>9.2999999999999999E-2</v>
      </c>
      <c r="F31" s="61">
        <f>'6.7'!G31</f>
        <v>0.105</v>
      </c>
      <c r="G31" s="23">
        <f t="shared" si="0"/>
        <v>5.0999999999999997E-2</v>
      </c>
      <c r="H31" s="29">
        <f t="shared" si="1"/>
        <v>5.0999999999999997E-2</v>
      </c>
      <c r="I31" s="60"/>
      <c r="J31" s="2"/>
    </row>
    <row r="32" spans="1:10" x14ac:dyDescent="0.2">
      <c r="A32" t="str">
        <f t="shared" si="2"/>
        <v>2001</v>
      </c>
      <c r="C32" s="61">
        <f>'6.4'!G32</f>
        <v>0.05</v>
      </c>
      <c r="D32" s="61">
        <f>'6.5'!G32</f>
        <v>7.1999999999999995E-2</v>
      </c>
      <c r="E32" s="61">
        <f>'6.6'!G32</f>
        <v>7.2999999999999995E-2</v>
      </c>
      <c r="F32" s="61">
        <f>'6.7'!G32</f>
        <v>0.32800000000000001</v>
      </c>
      <c r="G32" s="23">
        <f t="shared" si="0"/>
        <v>6.8000000000000005E-2</v>
      </c>
      <c r="H32" s="29">
        <f t="shared" si="1"/>
        <v>6.8000000000000005E-2</v>
      </c>
      <c r="I32" s="60"/>
      <c r="J32" s="2"/>
    </row>
    <row r="33" spans="1:10" x14ac:dyDescent="0.2">
      <c r="A33" t="str">
        <f t="shared" si="2"/>
        <v>2002</v>
      </c>
      <c r="C33" s="61">
        <f>'6.4'!G33</f>
        <v>0.24399999999999999</v>
      </c>
      <c r="D33" s="61">
        <f>'6.5'!G33</f>
        <v>5.8000000000000003E-2</v>
      </c>
      <c r="E33" s="61">
        <f>'6.6'!G33</f>
        <v>0.16500000000000001</v>
      </c>
      <c r="F33" s="61">
        <f>'6.7'!G33</f>
        <v>0.106</v>
      </c>
      <c r="G33" s="23">
        <f t="shared" si="0"/>
        <v>0.17199999999999999</v>
      </c>
      <c r="H33" s="29">
        <f t="shared" si="1"/>
        <v>0.17199999999999999</v>
      </c>
      <c r="I33" s="60"/>
      <c r="J33" s="2"/>
    </row>
    <row r="34" spans="1:10" x14ac:dyDescent="0.2">
      <c r="A34" t="str">
        <f t="shared" si="2"/>
        <v>2003</v>
      </c>
      <c r="C34" s="61">
        <f>'6.4'!G34</f>
        <v>5.0999999999999997E-2</v>
      </c>
      <c r="D34" s="61">
        <f>'6.5'!G34</f>
        <v>8.2000000000000003E-2</v>
      </c>
      <c r="E34" s="61">
        <f>'6.6'!G34</f>
        <v>0.36499999999999999</v>
      </c>
      <c r="F34" s="61">
        <f>'6.7'!G34</f>
        <v>0.10299999999999999</v>
      </c>
      <c r="G34" s="23">
        <f t="shared" si="0"/>
        <v>0.20100000000000001</v>
      </c>
      <c r="H34" s="29">
        <f t="shared" si="1"/>
        <v>0.20100000000000001</v>
      </c>
      <c r="I34" s="60"/>
      <c r="J34" s="2"/>
    </row>
    <row r="35" spans="1:10" x14ac:dyDescent="0.2">
      <c r="A35" t="str">
        <f t="shared" si="2"/>
        <v>2004</v>
      </c>
      <c r="B35" s="25"/>
      <c r="C35" s="61">
        <f>'6.4'!G35</f>
        <v>1.2999999999999999E-2</v>
      </c>
      <c r="D35" s="61">
        <f>'6.5'!G35</f>
        <v>1.9E-2</v>
      </c>
      <c r="E35" s="61">
        <f>'6.6'!G35</f>
        <v>1.9E-2</v>
      </c>
      <c r="F35" s="61">
        <f>'6.7'!G35</f>
        <v>3.9E-2</v>
      </c>
      <c r="G35" s="23">
        <f t="shared" si="0"/>
        <v>1.7000000000000001E-2</v>
      </c>
      <c r="H35" s="29">
        <f t="shared" si="1"/>
        <v>1.7000000000000001E-2</v>
      </c>
      <c r="I35" s="60"/>
      <c r="J35" s="2"/>
    </row>
    <row r="36" spans="1:10" x14ac:dyDescent="0.2">
      <c r="A36" t="str">
        <f t="shared" si="2"/>
        <v>2005</v>
      </c>
      <c r="C36" s="61">
        <f>'6.4'!G36</f>
        <v>0.51100000000000001</v>
      </c>
      <c r="D36" s="61">
        <f>'6.5'!G36</f>
        <v>2.7E-2</v>
      </c>
      <c r="E36" s="61">
        <f>'6.6'!G36</f>
        <v>2.036</v>
      </c>
      <c r="F36" s="61">
        <f>'6.7'!G36</f>
        <v>0.372</v>
      </c>
      <c r="G36" s="23">
        <f t="shared" si="0"/>
        <v>1.1160000000000001</v>
      </c>
      <c r="H36" s="29">
        <f t="shared" si="1"/>
        <v>1.1160000000000001</v>
      </c>
      <c r="I36" s="60"/>
      <c r="J36" s="2"/>
    </row>
    <row r="37" spans="1:10" x14ac:dyDescent="0.2">
      <c r="A37" t="str">
        <f t="shared" si="2"/>
        <v>2006</v>
      </c>
      <c r="B37" s="25"/>
      <c r="C37" s="61">
        <f>'6.4'!G37</f>
        <v>0.01</v>
      </c>
      <c r="D37" s="61">
        <f>'6.5'!G37</f>
        <v>1.7000000000000001E-2</v>
      </c>
      <c r="E37" s="61">
        <f>'6.6'!G37</f>
        <v>2.8000000000000001E-2</v>
      </c>
      <c r="F37" s="61">
        <f>'6.7'!G37</f>
        <v>4.9000000000000002E-2</v>
      </c>
      <c r="G37" s="23">
        <f t="shared" si="0"/>
        <v>0.02</v>
      </c>
      <c r="H37" s="29">
        <f t="shared" si="1"/>
        <v>0.02</v>
      </c>
      <c r="I37" s="60"/>
      <c r="J37" s="2"/>
    </row>
    <row r="38" spans="1:10" x14ac:dyDescent="0.2">
      <c r="A38" s="50" t="str">
        <f t="shared" si="2"/>
        <v>2007</v>
      </c>
      <c r="B38" s="51"/>
      <c r="C38" s="63">
        <f>'6.4'!G38</f>
        <v>2.7E-2</v>
      </c>
      <c r="D38" s="63">
        <f>'6.5'!G38</f>
        <v>1.6E-2</v>
      </c>
      <c r="E38" s="63">
        <f>'6.6'!G38</f>
        <v>8.3000000000000004E-2</v>
      </c>
      <c r="F38" s="61">
        <f>'6.7'!G38</f>
        <v>4.9000000000000002E-2</v>
      </c>
      <c r="G38" s="53">
        <f t="shared" si="0"/>
        <v>5.0999999999999997E-2</v>
      </c>
      <c r="H38" s="29">
        <f t="shared" si="1"/>
        <v>5.0999999999999997E-2</v>
      </c>
      <c r="I38" s="60"/>
      <c r="J38" s="2"/>
    </row>
    <row r="39" spans="1:10" x14ac:dyDescent="0.2">
      <c r="A39" s="50" t="str">
        <f t="shared" si="2"/>
        <v>2008</v>
      </c>
      <c r="B39" s="25"/>
      <c r="C39" s="63">
        <f>'6.4'!G39</f>
        <v>6.9459999999999997</v>
      </c>
      <c r="D39" s="63">
        <f>'6.5'!G39</f>
        <v>2.1999999999999999E-2</v>
      </c>
      <c r="E39" s="63">
        <f>'6.6'!G39</f>
        <v>3.8220000000000001</v>
      </c>
      <c r="F39" s="61">
        <f>'6.7'!G39</f>
        <v>4.1840000000000002</v>
      </c>
      <c r="G39" s="53">
        <f t="shared" si="0"/>
        <v>4.1989999999999998</v>
      </c>
      <c r="H39" s="29">
        <f t="shared" si="1"/>
        <v>4.1989999999999998</v>
      </c>
      <c r="I39" s="60"/>
      <c r="J39" s="2"/>
    </row>
    <row r="40" spans="1:10" x14ac:dyDescent="0.2">
      <c r="A40" s="50" t="str">
        <f t="shared" si="2"/>
        <v>2009</v>
      </c>
      <c r="B40" s="25"/>
      <c r="C40" s="61">
        <f>'6.4'!G40</f>
        <v>2.9000000000000001E-2</v>
      </c>
      <c r="D40" s="61">
        <f>'6.5'!G40</f>
        <v>8.9999999999999993E-3</v>
      </c>
      <c r="E40" s="61">
        <f>'6.6'!G40</f>
        <v>1.2999999999999999E-2</v>
      </c>
      <c r="F40" s="61">
        <f>'6.7'!G40</f>
        <v>9.4E-2</v>
      </c>
      <c r="G40" s="23">
        <f t="shared" si="0"/>
        <v>1.9E-2</v>
      </c>
      <c r="H40" s="29">
        <f>G40</f>
        <v>1.9E-2</v>
      </c>
      <c r="I40" s="60"/>
      <c r="J40" s="2"/>
    </row>
    <row r="41" spans="1:10" x14ac:dyDescent="0.2">
      <c r="A41" s="50" t="str">
        <f t="shared" si="2"/>
        <v>2010</v>
      </c>
      <c r="B41" s="25"/>
      <c r="C41" s="61">
        <f>'6.4'!G41</f>
        <v>1.2E-2</v>
      </c>
      <c r="D41" s="61">
        <f>'6.5'!G41</f>
        <v>5.6000000000000001E-2</v>
      </c>
      <c r="E41" s="61">
        <f>'6.6'!G41</f>
        <v>4.8000000000000001E-2</v>
      </c>
      <c r="F41" s="61">
        <f>'6.7'!G41</f>
        <v>0.109</v>
      </c>
      <c r="G41" s="23">
        <f t="shared" si="0"/>
        <v>3.7999999999999999E-2</v>
      </c>
      <c r="H41" s="29">
        <f>G41</f>
        <v>3.7999999999999999E-2</v>
      </c>
      <c r="I41" s="60"/>
      <c r="J41" s="2"/>
    </row>
    <row r="42" spans="1:10" x14ac:dyDescent="0.2">
      <c r="A42" s="50" t="str">
        <f t="shared" si="2"/>
        <v>2011</v>
      </c>
      <c r="B42" s="51"/>
      <c r="C42" s="63">
        <f>'6.4'!G42</f>
        <v>0.01</v>
      </c>
      <c r="D42" s="63">
        <f>'6.5'!G42</f>
        <v>0.27300000000000002</v>
      </c>
      <c r="E42" s="63">
        <f>'6.6'!G42</f>
        <v>0.28399999999999997</v>
      </c>
      <c r="F42" s="63">
        <f>'6.7'!G42</f>
        <v>0.06</v>
      </c>
      <c r="G42" s="53">
        <f t="shared" si="0"/>
        <v>0.185</v>
      </c>
      <c r="H42" s="29">
        <f>G42*'ldf 3.1b'!K46</f>
        <v>0.185</v>
      </c>
      <c r="I42" s="60"/>
      <c r="J42" s="2"/>
    </row>
    <row r="43" spans="1:10" x14ac:dyDescent="0.2">
      <c r="A43" s="50" t="str">
        <f t="shared" si="2"/>
        <v>2012</v>
      </c>
      <c r="B43" s="51"/>
      <c r="C43" s="63">
        <f>'6.4'!G43</f>
        <v>8.3000000000000004E-2</v>
      </c>
      <c r="D43" s="63">
        <f>'6.5'!G43</f>
        <v>0.28899999999999998</v>
      </c>
      <c r="E43" s="63">
        <f>'6.6'!G43</f>
        <v>9.5000000000000001E-2</v>
      </c>
      <c r="F43" s="63">
        <f>'6.7'!G43</f>
        <v>0.85</v>
      </c>
      <c r="G43" s="53">
        <f t="shared" si="0"/>
        <v>0.13700000000000001</v>
      </c>
      <c r="H43" s="29">
        <f>G43*'ldf 3.1b'!J46</f>
        <v>0.13700000000000001</v>
      </c>
      <c r="I43" s="60"/>
      <c r="J43" s="2"/>
    </row>
    <row r="44" spans="1:10" x14ac:dyDescent="0.2">
      <c r="A44" s="50" t="str">
        <f t="shared" si="2"/>
        <v>2013</v>
      </c>
      <c r="B44" s="51"/>
      <c r="C44" s="63">
        <f>'6.4'!G44</f>
        <v>0.40699999999999997</v>
      </c>
      <c r="D44" s="63">
        <f>'6.5'!G44</f>
        <v>9.0999999999999998E-2</v>
      </c>
      <c r="E44" s="63">
        <f>'6.6'!G44</f>
        <v>2.8000000000000001E-2</v>
      </c>
      <c r="F44" s="63">
        <f>'6.7'!G44</f>
        <v>0.19600000000000001</v>
      </c>
      <c r="G44" s="53">
        <f t="shared" si="0"/>
        <v>0.17199999999999999</v>
      </c>
      <c r="H44" s="29">
        <f>G44*'ldf 3.1b'!I46</f>
        <v>0.17199999999999999</v>
      </c>
      <c r="I44" s="60"/>
      <c r="J44" s="2"/>
    </row>
    <row r="45" spans="1:10" x14ac:dyDescent="0.2">
      <c r="A45" s="50" t="str">
        <f t="shared" si="2"/>
        <v>2014</v>
      </c>
      <c r="B45" s="51"/>
      <c r="C45" s="220">
        <f>'6.4'!G45</f>
        <v>5.0000000000000001E-3</v>
      </c>
      <c r="D45" s="220">
        <f>'6.5'!G45</f>
        <v>2.5000000000000001E-2</v>
      </c>
      <c r="E45" s="220">
        <f>'6.6'!G45</f>
        <v>3.1E-2</v>
      </c>
      <c r="F45" s="220">
        <f>'6.7'!G45</f>
        <v>0.17699999999999999</v>
      </c>
      <c r="G45" s="221">
        <f t="shared" si="0"/>
        <v>2.3E-2</v>
      </c>
      <c r="H45" s="29">
        <f>G45*'ldf 3.1b'!H46</f>
        <v>2.3E-2</v>
      </c>
      <c r="I45" s="60"/>
      <c r="J45" s="2"/>
    </row>
    <row r="46" spans="1:10" x14ac:dyDescent="0.2">
      <c r="A46" s="50" t="str">
        <f t="shared" si="2"/>
        <v>2015</v>
      </c>
      <c r="B46" s="51"/>
      <c r="C46" s="220">
        <f>'6.4'!G46</f>
        <v>0.127</v>
      </c>
      <c r="D46" s="220">
        <f>'6.5'!G46</f>
        <v>0.122</v>
      </c>
      <c r="E46" s="220">
        <f>'6.6'!G46</f>
        <v>0.375</v>
      </c>
      <c r="F46" s="220">
        <f>'6.7'!G46</f>
        <v>0.35099999999999998</v>
      </c>
      <c r="G46" s="221">
        <f t="shared" si="0"/>
        <v>0.24299999999999999</v>
      </c>
      <c r="H46" s="29">
        <f>G46*'ldf 3.1b'!G46</f>
        <v>0.24348600000000001</v>
      </c>
      <c r="I46" s="60"/>
      <c r="J46" s="2"/>
    </row>
    <row r="47" spans="1:10" x14ac:dyDescent="0.2">
      <c r="A47" s="51">
        <v>2016</v>
      </c>
      <c r="B47" s="51"/>
      <c r="C47" s="220">
        <f>'6.4'!G47</f>
        <v>8.3000000000000004E-2</v>
      </c>
      <c r="D47" s="220">
        <f>'6.5'!G47</f>
        <v>0.127</v>
      </c>
      <c r="E47" s="220">
        <f>'6.6'!G47</f>
        <v>6.4000000000000001E-2</v>
      </c>
      <c r="F47" s="220">
        <f>'6.7'!G47</f>
        <v>0.35799999999999998</v>
      </c>
      <c r="G47" s="221">
        <f t="shared" si="0"/>
        <v>8.5999999999999993E-2</v>
      </c>
      <c r="H47" s="29">
        <f>G47*'ldf 3.1b'!F46</f>
        <v>8.677399999999999E-2</v>
      </c>
      <c r="I47" s="60"/>
      <c r="J47" s="2"/>
    </row>
    <row r="48" spans="1:10" x14ac:dyDescent="0.2">
      <c r="A48" s="51">
        <v>2017</v>
      </c>
      <c r="B48" s="51"/>
      <c r="C48" s="220">
        <f>'6.4'!G48</f>
        <v>0.309</v>
      </c>
      <c r="D48" s="220">
        <f>'6.5'!G48</f>
        <v>3.3980000000000001</v>
      </c>
      <c r="E48" s="220">
        <f>'6.6'!G48</f>
        <v>3.1589999999999998</v>
      </c>
      <c r="F48" s="220">
        <f>'6.7'!G48</f>
        <v>0.60199999999999998</v>
      </c>
      <c r="G48" s="221">
        <f t="shared" si="0"/>
        <v>2.1869999999999998</v>
      </c>
      <c r="H48" s="29">
        <f>G48*'ldf 3.1b'!E46</f>
        <v>2.2394879999999997</v>
      </c>
      <c r="I48" s="60"/>
      <c r="J48" s="2"/>
    </row>
    <row r="49" spans="1:11" x14ac:dyDescent="0.2">
      <c r="A49" s="51">
        <v>2018</v>
      </c>
      <c r="B49" s="50"/>
      <c r="C49" s="220">
        <f>'6.4'!G49</f>
        <v>2.4E-2</v>
      </c>
      <c r="D49" s="220">
        <f>'6.5'!G49</f>
        <v>2.1999999999999999E-2</v>
      </c>
      <c r="E49" s="220">
        <f>'6.6'!G49</f>
        <v>4.5999999999999999E-2</v>
      </c>
      <c r="F49" s="220">
        <f>'6.7'!G49</f>
        <v>0.104</v>
      </c>
      <c r="G49" s="221">
        <f t="shared" si="0"/>
        <v>3.5000000000000003E-2</v>
      </c>
      <c r="H49" s="64">
        <f>G49*'ldf 3.1b'!D46</f>
        <v>3.7624999999999999E-2</v>
      </c>
      <c r="I49" s="60"/>
      <c r="J49" s="2"/>
    </row>
    <row r="50" spans="1:11" x14ac:dyDescent="0.2">
      <c r="A50" s="51">
        <v>2019</v>
      </c>
      <c r="B50" s="50"/>
      <c r="C50" s="220">
        <f>'6.4'!G50</f>
        <v>4.1000000000000002E-2</v>
      </c>
      <c r="D50" s="220">
        <f>'6.5'!G50</f>
        <v>1.6E-2</v>
      </c>
      <c r="E50" s="220">
        <f>'6.6'!G50</f>
        <v>7.2999999999999995E-2</v>
      </c>
      <c r="F50" s="220">
        <f>'6.7'!G50</f>
        <v>0.26800000000000002</v>
      </c>
      <c r="G50" s="221">
        <f t="shared" si="0"/>
        <v>5.3999999999999999E-2</v>
      </c>
      <c r="H50" s="64">
        <f>G50*'ldf 3.1b'!C46</f>
        <v>6.6851999999999995E-2</v>
      </c>
      <c r="I50" s="60"/>
      <c r="J50" s="2"/>
    </row>
    <row r="51" spans="1:11" x14ac:dyDescent="0.2">
      <c r="H51" s="60"/>
      <c r="I51" s="60"/>
      <c r="J51" s="2"/>
      <c r="K51" t="s">
        <v>217</v>
      </c>
    </row>
    <row r="52" spans="1:11" x14ac:dyDescent="0.2">
      <c r="A52" t="s">
        <v>71</v>
      </c>
      <c r="C52" s="23">
        <f>ROUND(AVERAGE(C14:C50),3)</f>
        <v>0.63700000000000001</v>
      </c>
      <c r="D52" s="23">
        <f t="shared" ref="D52:G52" si="3">ROUND(AVERAGE(D14:D50),3)</f>
        <v>0.16900000000000001</v>
      </c>
      <c r="E52" s="23">
        <f>ROUND(AVERAGE(E14:E50),3)</f>
        <v>0.42699999999999999</v>
      </c>
      <c r="F52" s="23">
        <f t="shared" si="3"/>
        <v>0.34599999999999997</v>
      </c>
      <c r="G52" s="23">
        <f t="shared" si="3"/>
        <v>0.45</v>
      </c>
      <c r="H52" s="23">
        <f>ROUND(AVERAGE(H14:H50),3)</f>
        <v>0.45200000000000001</v>
      </c>
      <c r="I52" s="60"/>
      <c r="J52" s="2"/>
      <c r="K52" s="86">
        <f>'6.4'!K$54</f>
        <v>43738</v>
      </c>
    </row>
    <row r="53" spans="1:11" x14ac:dyDescent="0.2">
      <c r="A53" s="50"/>
      <c r="B53" s="50"/>
      <c r="C53" s="50"/>
      <c r="D53" s="50"/>
      <c r="E53" s="50"/>
      <c r="F53" s="50"/>
      <c r="G53" s="50"/>
      <c r="J53" s="2"/>
    </row>
    <row r="54" spans="1:11" x14ac:dyDescent="0.2">
      <c r="C54" s="24" t="str">
        <f>"TWIA "&amp;YEAR('2.1'!$L$9)&amp;" Written Premium by Territory / Tier"</f>
        <v>TWIA 2019 Written Premium by Territory / Tier</v>
      </c>
      <c r="J54" s="2"/>
    </row>
    <row r="55" spans="1:11" x14ac:dyDescent="0.2">
      <c r="J55" s="2"/>
    </row>
    <row r="56" spans="1:11" x14ac:dyDescent="0.2">
      <c r="A56" s="9"/>
      <c r="B56" s="9"/>
      <c r="C56" s="9" t="s">
        <v>130</v>
      </c>
      <c r="D56" s="9" t="s">
        <v>131</v>
      </c>
      <c r="E56" s="9" t="s">
        <v>132</v>
      </c>
      <c r="F56" s="9" t="s">
        <v>24</v>
      </c>
      <c r="G56" s="9" t="s">
        <v>9</v>
      </c>
      <c r="H56" s="9"/>
      <c r="I56" s="294"/>
      <c r="J56" s="2"/>
    </row>
    <row r="57" spans="1:11" x14ac:dyDescent="0.2">
      <c r="J57" s="2"/>
    </row>
    <row r="58" spans="1:11" x14ac:dyDescent="0.2">
      <c r="A58" s="56" t="s">
        <v>122</v>
      </c>
      <c r="B58" t="s">
        <v>27</v>
      </c>
      <c r="C58" s="31">
        <f>'2.1'!$C$14</f>
        <v>108030247</v>
      </c>
      <c r="D58" s="31">
        <f>'2.1'!$C$15</f>
        <v>58233887</v>
      </c>
      <c r="E58" s="31">
        <f>'2.1'!$C$16</f>
        <v>143774114</v>
      </c>
      <c r="F58" s="31">
        <f>'2.1'!$C$17</f>
        <v>4354003</v>
      </c>
      <c r="G58" s="19">
        <f>SUM(C58:F58)</f>
        <v>314392251</v>
      </c>
      <c r="J58" s="2"/>
    </row>
    <row r="59" spans="1:11" x14ac:dyDescent="0.2">
      <c r="A59" s="56" t="s">
        <v>121</v>
      </c>
      <c r="B59" t="s">
        <v>135</v>
      </c>
      <c r="C59" s="20">
        <f>ROUND(C58/$G58,3)</f>
        <v>0.34399999999999997</v>
      </c>
      <c r="D59" s="20">
        <f>ROUND(D58/$G58,3)</f>
        <v>0.185</v>
      </c>
      <c r="E59" s="20">
        <f>ROUND(E58/$G58,3)</f>
        <v>0.45700000000000002</v>
      </c>
      <c r="F59" s="20">
        <f>ROUND(F58/$G58,3)</f>
        <v>1.4E-2</v>
      </c>
      <c r="G59" s="20">
        <f>SUM(C59:F59)</f>
        <v>1</v>
      </c>
      <c r="J59" s="2"/>
    </row>
    <row r="60" spans="1:11" ht="12" thickBot="1" x14ac:dyDescent="0.25">
      <c r="A60" s="6"/>
      <c r="B60" s="6"/>
      <c r="C60" s="6"/>
      <c r="D60" s="6"/>
      <c r="E60" s="6"/>
      <c r="F60" s="6"/>
      <c r="G60" s="6"/>
      <c r="H60" s="6"/>
      <c r="I60" s="296"/>
      <c r="J60" s="2"/>
    </row>
    <row r="61" spans="1:11" ht="12" thickTop="1" x14ac:dyDescent="0.2">
      <c r="J61" s="2"/>
    </row>
    <row r="62" spans="1:11" x14ac:dyDescent="0.2">
      <c r="A62" t="s">
        <v>17</v>
      </c>
      <c r="F62" s="45"/>
      <c r="J62" s="2"/>
    </row>
    <row r="63" spans="1:11" x14ac:dyDescent="0.2">
      <c r="B63" s="22" t="str">
        <f>C12&amp;" "&amp;'6.4'!$I$1&amp;", "&amp;'6.4'!$I$2</f>
        <v>(2) Exhibit 6, Sheet 4</v>
      </c>
      <c r="J63" s="2"/>
    </row>
    <row r="64" spans="1:11" x14ac:dyDescent="0.2">
      <c r="B64" s="22" t="str">
        <f>D12&amp;" "&amp;'6.5'!$I$1&amp;", "&amp;'6.5'!$I$2</f>
        <v>(3) Exhibit 6, Sheet 5</v>
      </c>
      <c r="J64" s="2"/>
    </row>
    <row r="65" spans="1:10" x14ac:dyDescent="0.2">
      <c r="B65" s="22" t="str">
        <f>E12&amp;" "&amp;'6.6'!$I$1&amp;", "&amp;'6.6'!$I$2</f>
        <v>(4) Exhibit 6, Sheet 6</v>
      </c>
      <c r="J65" s="2"/>
    </row>
    <row r="66" spans="1:10" x14ac:dyDescent="0.2">
      <c r="B66" s="22" t="str">
        <f>F12&amp;" "&amp;'6.7'!$I$1&amp;", "&amp;'6.7'!$I$2</f>
        <v>(5) Exhibit 6, Sheet 7</v>
      </c>
      <c r="J66" s="2"/>
    </row>
    <row r="67" spans="1:10" x14ac:dyDescent="0.2">
      <c r="B67" s="22" t="str">
        <f>G12&amp;" = Weighted average of "&amp;C12&amp;" to "&amp;F12&amp;", using "&amp;A59</f>
        <v>(6) = Weighted average of (2) to (5), using (9)</v>
      </c>
      <c r="J67" s="2"/>
    </row>
    <row r="68" spans="1:10" x14ac:dyDescent="0.2">
      <c r="B68" t="s">
        <v>407</v>
      </c>
      <c r="D68" s="61"/>
      <c r="E68" s="61"/>
      <c r="F68" s="61"/>
      <c r="G68" s="23"/>
      <c r="J68" s="2"/>
    </row>
    <row r="69" spans="1:10" x14ac:dyDescent="0.2">
      <c r="B69" s="25" t="str">
        <f>A58&amp;" Provided by TWIA"</f>
        <v>(8) Provided by TWIA</v>
      </c>
      <c r="J69" s="2"/>
    </row>
    <row r="70" spans="1:10" x14ac:dyDescent="0.2">
      <c r="B70" s="25" t="str">
        <f>A59&amp;" = "&amp;A58&amp;" / "&amp;A58&amp;" Total"</f>
        <v>(9) = (8) / (8) Total</v>
      </c>
      <c r="J70" s="2"/>
    </row>
    <row r="71" spans="1:10" ht="12" thickBot="1" x14ac:dyDescent="0.25">
      <c r="B71" s="25"/>
      <c r="J71" s="2"/>
    </row>
    <row r="72" spans="1:10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3"/>
    </row>
  </sheetData>
  <phoneticPr fontId="0" type="noConversion"/>
  <pageMargins left="0.5" right="0.5" top="0.5" bottom="0.5" header="0.5" footer="0.5"/>
  <pageSetup scale="99"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>
    <tabColor rgb="FF92D050"/>
  </sheetPr>
  <dimension ref="A1:BG63"/>
  <sheetViews>
    <sheetView showGridLines="0" workbookViewId="0">
      <selection activeCell="H11" sqref="H1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6640625" bestFit="1" customWidth="1"/>
    <col min="13" max="13" width="0" hidden="1" customWidth="1"/>
    <col min="14" max="14" width="12.6640625" hidden="1" customWidth="1"/>
    <col min="15" max="16" width="0" hidden="1" customWidth="1"/>
    <col min="21" max="21" width="3.83203125" bestFit="1" customWidth="1"/>
    <col min="23" max="45" width="5.1640625" bestFit="1" customWidth="1"/>
    <col min="46" max="46" width="5.1640625" style="306" bestFit="1" customWidth="1"/>
    <col min="47" max="60" width="5.1640625" bestFit="1" customWidth="1"/>
  </cols>
  <sheetData>
    <row r="1" spans="1:59" x14ac:dyDescent="0.2">
      <c r="A1" s="8" t="str">
        <f>'1'!$A$1</f>
        <v>Texas Windstorm Insurance Association</v>
      </c>
      <c r="B1" s="12"/>
      <c r="I1" s="7" t="s">
        <v>106</v>
      </c>
      <c r="J1" s="1"/>
    </row>
    <row r="2" spans="1:59" x14ac:dyDescent="0.2">
      <c r="A2" s="8" t="str">
        <f>'1'!$A$2</f>
        <v>Residential Property - Wind &amp; Hail</v>
      </c>
      <c r="B2" s="12"/>
      <c r="I2" s="7" t="s">
        <v>91</v>
      </c>
      <c r="J2" s="2"/>
    </row>
    <row r="3" spans="1:59" x14ac:dyDescent="0.2">
      <c r="A3" s="8" t="str">
        <f>'1'!$A$3</f>
        <v>Rate Level Review</v>
      </c>
      <c r="B3" s="12"/>
      <c r="J3" s="2"/>
    </row>
    <row r="4" spans="1:59" x14ac:dyDescent="0.2">
      <c r="A4" t="s">
        <v>107</v>
      </c>
      <c r="B4" s="12"/>
      <c r="J4" s="2"/>
    </row>
    <row r="5" spans="1:59" x14ac:dyDescent="0.2">
      <c r="A5" t="s">
        <v>31</v>
      </c>
      <c r="B5" s="12"/>
      <c r="E5" s="246"/>
      <c r="F5" s="246"/>
      <c r="G5" s="246"/>
      <c r="H5" s="246"/>
      <c r="J5" s="2"/>
    </row>
    <row r="6" spans="1:59" x14ac:dyDescent="0.2">
      <c r="J6" s="2"/>
    </row>
    <row r="7" spans="1:59" ht="12" thickBot="1" x14ac:dyDescent="0.25">
      <c r="A7" s="6"/>
      <c r="B7" s="6"/>
      <c r="C7" s="6"/>
      <c r="D7" s="6"/>
      <c r="E7" s="6"/>
      <c r="F7" s="6"/>
      <c r="G7" s="6"/>
      <c r="J7" s="2"/>
    </row>
    <row r="8" spans="1:59" ht="12" thickTop="1" x14ac:dyDescent="0.2">
      <c r="J8" s="2"/>
    </row>
    <row r="9" spans="1:59" x14ac:dyDescent="0.2">
      <c r="C9" s="22"/>
      <c r="D9" t="s">
        <v>37</v>
      </c>
      <c r="E9" t="s">
        <v>44</v>
      </c>
      <c r="J9" s="2"/>
      <c r="K9" s="27"/>
    </row>
    <row r="10" spans="1:59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59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H11" s="161"/>
      <c r="J11" s="2"/>
      <c r="K11" s="52"/>
    </row>
    <row r="12" spans="1:5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59" x14ac:dyDescent="0.2">
      <c r="J13" s="2"/>
      <c r="K13" t="s">
        <v>140</v>
      </c>
      <c r="N13" t="s">
        <v>14</v>
      </c>
      <c r="O13" t="s">
        <v>74</v>
      </c>
      <c r="P13" t="s">
        <v>266</v>
      </c>
      <c r="S13" t="s">
        <v>370</v>
      </c>
      <c r="T13" t="s">
        <v>74</v>
      </c>
      <c r="V13" t="s">
        <v>404</v>
      </c>
      <c r="W13">
        <v>1983</v>
      </c>
      <c r="X13">
        <f>W13+1</f>
        <v>1984</v>
      </c>
      <c r="Y13">
        <f t="shared" ref="Y13:BG13" si="0">X13+1</f>
        <v>1985</v>
      </c>
      <c r="Z13">
        <f t="shared" si="0"/>
        <v>1986</v>
      </c>
      <c r="AA13">
        <f t="shared" si="0"/>
        <v>1987</v>
      </c>
      <c r="AB13">
        <f t="shared" si="0"/>
        <v>1988</v>
      </c>
      <c r="AC13">
        <f t="shared" si="0"/>
        <v>1989</v>
      </c>
      <c r="AD13">
        <f t="shared" si="0"/>
        <v>1990</v>
      </c>
      <c r="AE13">
        <f t="shared" si="0"/>
        <v>1991</v>
      </c>
      <c r="AF13">
        <f t="shared" si="0"/>
        <v>1992</v>
      </c>
      <c r="AG13">
        <f t="shared" si="0"/>
        <v>1993</v>
      </c>
      <c r="AH13">
        <f t="shared" si="0"/>
        <v>1994</v>
      </c>
      <c r="AI13">
        <f t="shared" si="0"/>
        <v>1995</v>
      </c>
      <c r="AJ13">
        <f t="shared" si="0"/>
        <v>1996</v>
      </c>
      <c r="AK13">
        <f t="shared" si="0"/>
        <v>1997</v>
      </c>
      <c r="AL13">
        <f t="shared" si="0"/>
        <v>1998</v>
      </c>
      <c r="AM13">
        <f t="shared" si="0"/>
        <v>1999</v>
      </c>
      <c r="AN13">
        <f t="shared" si="0"/>
        <v>2000</v>
      </c>
      <c r="AO13">
        <f t="shared" si="0"/>
        <v>2001</v>
      </c>
      <c r="AP13">
        <f t="shared" si="0"/>
        <v>2002</v>
      </c>
      <c r="AQ13">
        <f t="shared" si="0"/>
        <v>2003</v>
      </c>
      <c r="AR13">
        <f t="shared" si="0"/>
        <v>2004</v>
      </c>
      <c r="AS13">
        <f t="shared" si="0"/>
        <v>2005</v>
      </c>
      <c r="AT13" s="306">
        <f t="shared" si="0"/>
        <v>2006</v>
      </c>
      <c r="AU13">
        <f t="shared" si="0"/>
        <v>2007</v>
      </c>
      <c r="AV13">
        <f t="shared" si="0"/>
        <v>2008</v>
      </c>
      <c r="AW13">
        <f t="shared" si="0"/>
        <v>2009</v>
      </c>
      <c r="AX13">
        <f t="shared" si="0"/>
        <v>2010</v>
      </c>
      <c r="AY13">
        <f t="shared" si="0"/>
        <v>2011</v>
      </c>
      <c r="AZ13">
        <f t="shared" si="0"/>
        <v>2012</v>
      </c>
      <c r="BA13">
        <f t="shared" si="0"/>
        <v>2013</v>
      </c>
      <c r="BB13">
        <f t="shared" si="0"/>
        <v>2014</v>
      </c>
      <c r="BC13">
        <f t="shared" si="0"/>
        <v>2015</v>
      </c>
      <c r="BD13">
        <f t="shared" si="0"/>
        <v>2016</v>
      </c>
      <c r="BE13">
        <f t="shared" si="0"/>
        <v>2017</v>
      </c>
      <c r="BF13">
        <f t="shared" si="0"/>
        <v>2018</v>
      </c>
      <c r="BG13">
        <f t="shared" si="0"/>
        <v>2019</v>
      </c>
    </row>
    <row r="14" spans="1:59" x14ac:dyDescent="0.2">
      <c r="A14" s="191">
        <v>1983</v>
      </c>
      <c r="C14" s="38">
        <v>4317605</v>
      </c>
      <c r="D14" s="35">
        <f>'6.4'!$K$14</f>
        <v>2.1452794581413541</v>
      </c>
      <c r="E14" s="125">
        <f>ROUND(C14*D14,0)</f>
        <v>9262469</v>
      </c>
      <c r="F14" s="38">
        <v>118889570</v>
      </c>
      <c r="G14" s="23">
        <f>ROUND(F14/E14,3)</f>
        <v>12.836</v>
      </c>
      <c r="J14" s="2"/>
      <c r="K14" s="127">
        <f>V14</f>
        <v>2.1452794581413541</v>
      </c>
      <c r="L14" s="44"/>
      <c r="M14" t="s">
        <v>265</v>
      </c>
      <c r="N14" s="97">
        <f>1.3/PRODUCT(N15:N17)</f>
        <v>1.1139540074268341</v>
      </c>
      <c r="O14" s="43">
        <f>PRODUCT(N$14:N14)</f>
        <v>1.1139540074268341</v>
      </c>
      <c r="P14" s="43">
        <f>O$29/O14</f>
        <v>2.3493360399540935</v>
      </c>
      <c r="R14" t="s">
        <v>265</v>
      </c>
      <c r="S14">
        <v>1</v>
      </c>
      <c r="T14" s="43">
        <v>1</v>
      </c>
      <c r="U14" t="s">
        <v>371</v>
      </c>
      <c r="V14">
        <f>AA49</f>
        <v>2.1452794581413541</v>
      </c>
      <c r="W14">
        <v>1</v>
      </c>
      <c r="X14">
        <v>1</v>
      </c>
      <c r="Y14">
        <v>1</v>
      </c>
      <c r="Z14">
        <v>1</v>
      </c>
      <c r="AA14">
        <v>1</v>
      </c>
      <c r="AB14">
        <v>0.5</v>
      </c>
    </row>
    <row r="15" spans="1:59" x14ac:dyDescent="0.2">
      <c r="A15" t="str">
        <f>TEXT(A14+1,"#")</f>
        <v>1984</v>
      </c>
      <c r="C15" s="38">
        <v>3512853</v>
      </c>
      <c r="D15" s="35">
        <f t="shared" ref="D15:D18" si="1">D$14</f>
        <v>2.1452794581413541</v>
      </c>
      <c r="E15" s="125">
        <f t="shared" ref="E15:E32" si="2">ROUND(C15*D15,0)</f>
        <v>7536051</v>
      </c>
      <c r="F15" s="38">
        <v>292543</v>
      </c>
      <c r="G15" s="23">
        <f t="shared" ref="G15:G42" si="3">ROUND(F15/E15,3)</f>
        <v>3.9E-2</v>
      </c>
      <c r="J15" s="2"/>
      <c r="M15" s="69">
        <v>36161</v>
      </c>
      <c r="N15" s="126">
        <v>0.90600000000000003</v>
      </c>
      <c r="O15" s="43">
        <f>PRODUCT(N$14:N15)</f>
        <v>1.0092423307287117</v>
      </c>
      <c r="P15" s="43">
        <f>O$29/O15</f>
        <v>2.5930861368146725</v>
      </c>
      <c r="R15">
        <v>1988</v>
      </c>
      <c r="S15">
        <v>0.94599999999999995</v>
      </c>
      <c r="T15" s="43">
        <f>PRODUCT($S$14:S15)</f>
        <v>0.94599999999999995</v>
      </c>
      <c r="U15" t="s">
        <v>372</v>
      </c>
      <c r="V15">
        <f>AB49</f>
        <v>2.2048093094977945</v>
      </c>
      <c r="AB15">
        <v>0.5</v>
      </c>
      <c r="AC15">
        <v>0.5</v>
      </c>
    </row>
    <row r="16" spans="1:59" x14ac:dyDescent="0.2">
      <c r="A16" t="str">
        <f t="shared" ref="A16:A46" si="4">TEXT(A15+1,"#")</f>
        <v>1985</v>
      </c>
      <c r="C16" s="38">
        <v>6066870</v>
      </c>
      <c r="D16" s="35">
        <f t="shared" si="1"/>
        <v>2.1452794581413541</v>
      </c>
      <c r="E16" s="125">
        <f t="shared" si="2"/>
        <v>13015132</v>
      </c>
      <c r="F16" s="38">
        <v>265705</v>
      </c>
      <c r="G16" s="23">
        <f t="shared" si="3"/>
        <v>0.02</v>
      </c>
      <c r="J16" s="2"/>
      <c r="M16" s="69">
        <v>36526</v>
      </c>
      <c r="N16" s="126">
        <v>1.087</v>
      </c>
      <c r="O16" s="43">
        <f>PRODUCT(N$14:N16)</f>
        <v>1.0970464135021096</v>
      </c>
      <c r="P16" s="43">
        <f t="shared" ref="P16:P28" si="5">O$29/O16</f>
        <v>2.3855438241165343</v>
      </c>
      <c r="R16">
        <v>1989</v>
      </c>
      <c r="S16">
        <v>1</v>
      </c>
      <c r="T16" s="43">
        <f>PRODUCT($S$14:S16)</f>
        <v>0.94599999999999995</v>
      </c>
      <c r="U16" t="s">
        <v>373</v>
      </c>
      <c r="V16">
        <f>AC49</f>
        <v>2.267737270762531</v>
      </c>
      <c r="AC16">
        <v>0.5</v>
      </c>
      <c r="AD16">
        <v>0.5</v>
      </c>
    </row>
    <row r="17" spans="1:46" x14ac:dyDescent="0.2">
      <c r="A17" t="str">
        <f t="shared" si="4"/>
        <v>1986</v>
      </c>
      <c r="C17" s="38">
        <v>6846710</v>
      </c>
      <c r="D17" s="35">
        <f t="shared" si="1"/>
        <v>2.1452794581413541</v>
      </c>
      <c r="E17" s="125">
        <f t="shared" si="2"/>
        <v>14688106</v>
      </c>
      <c r="F17" s="38">
        <v>187218</v>
      </c>
      <c r="G17" s="23">
        <f t="shared" si="3"/>
        <v>1.2999999999999999E-2</v>
      </c>
      <c r="J17" s="2"/>
      <c r="M17" s="69">
        <v>36892</v>
      </c>
      <c r="N17" s="126">
        <v>1.1850000000000001</v>
      </c>
      <c r="O17" s="43">
        <f>PRODUCT(N$14:N17)</f>
        <v>1.3</v>
      </c>
      <c r="P17" s="43">
        <f t="shared" si="5"/>
        <v>2.0131171511531933</v>
      </c>
      <c r="R17">
        <v>1990</v>
      </c>
      <c r="S17">
        <v>1.0309999999999999</v>
      </c>
      <c r="T17" s="43">
        <f>PRODUCT($S$14:S17)</f>
        <v>0.97532599999999992</v>
      </c>
      <c r="U17" t="s">
        <v>374</v>
      </c>
      <c r="V17">
        <f>AD49</f>
        <v>2.2331238510709315</v>
      </c>
      <c r="AD17">
        <v>0.5</v>
      </c>
      <c r="AE17">
        <v>0.5</v>
      </c>
    </row>
    <row r="18" spans="1:46" x14ac:dyDescent="0.2">
      <c r="A18" t="str">
        <f t="shared" si="4"/>
        <v>1987</v>
      </c>
      <c r="C18" s="38">
        <v>7738740</v>
      </c>
      <c r="D18" s="35">
        <f t="shared" si="1"/>
        <v>2.1452794581413541</v>
      </c>
      <c r="E18" s="125">
        <f t="shared" si="2"/>
        <v>16601760</v>
      </c>
      <c r="F18" s="38">
        <v>111242</v>
      </c>
      <c r="G18" s="23">
        <f t="shared" si="3"/>
        <v>7.0000000000000001E-3</v>
      </c>
      <c r="J18" s="2"/>
      <c r="M18" s="69">
        <v>37987</v>
      </c>
      <c r="N18" s="126">
        <v>1.0960000000000001</v>
      </c>
      <c r="O18" s="43">
        <f>PRODUCT(N$14:N18)</f>
        <v>1.4248000000000001</v>
      </c>
      <c r="P18" s="43">
        <f t="shared" si="5"/>
        <v>1.8367857218551031</v>
      </c>
      <c r="R18">
        <v>1991</v>
      </c>
      <c r="S18">
        <v>1.25</v>
      </c>
      <c r="T18" s="43">
        <f>PRODUCT($S$14:S18)</f>
        <v>1.2191574999999999</v>
      </c>
      <c r="U18" t="s">
        <v>375</v>
      </c>
      <c r="V18">
        <f>AE49</f>
        <v>1.9551566080504634</v>
      </c>
      <c r="AE18">
        <v>0.5</v>
      </c>
      <c r="AF18">
        <v>0.5</v>
      </c>
    </row>
    <row r="19" spans="1:46" x14ac:dyDescent="0.2">
      <c r="A19" t="str">
        <f t="shared" si="4"/>
        <v>1988</v>
      </c>
      <c r="C19" s="219">
        <v>8043378</v>
      </c>
      <c r="D19" s="35">
        <f>V15</f>
        <v>2.2048093094977945</v>
      </c>
      <c r="E19" s="125">
        <f t="shared" si="2"/>
        <v>17734115</v>
      </c>
      <c r="F19" s="219">
        <v>1026666</v>
      </c>
      <c r="G19" s="23">
        <f t="shared" si="3"/>
        <v>5.8000000000000003E-2</v>
      </c>
      <c r="J19" s="2"/>
      <c r="M19" s="69">
        <v>38961</v>
      </c>
      <c r="N19" s="126">
        <v>1.0309999999999999</v>
      </c>
      <c r="O19" s="43">
        <f>PRODUCT(N$14:N19)</f>
        <v>1.4689687999999999</v>
      </c>
      <c r="P19" s="43">
        <f t="shared" si="5"/>
        <v>1.781557441178568</v>
      </c>
      <c r="R19">
        <v>1992</v>
      </c>
      <c r="S19">
        <v>0.45999999999999996</v>
      </c>
      <c r="T19" s="43">
        <f>PRODUCT($S$14:S19)</f>
        <v>0.56081244999999991</v>
      </c>
      <c r="U19" t="s">
        <v>376</v>
      </c>
      <c r="V19">
        <f>AF49</f>
        <v>2.410467051021119</v>
      </c>
      <c r="AF19">
        <v>0.5</v>
      </c>
      <c r="AG19">
        <v>0.5</v>
      </c>
    </row>
    <row r="20" spans="1:46" x14ac:dyDescent="0.2">
      <c r="A20" t="str">
        <f t="shared" si="4"/>
        <v>1989</v>
      </c>
      <c r="C20" s="219">
        <v>8149957</v>
      </c>
      <c r="D20" s="35">
        <f t="shared" ref="D20:D33" si="6">V16</f>
        <v>2.267737270762531</v>
      </c>
      <c r="E20" s="125">
        <f t="shared" si="2"/>
        <v>18481961</v>
      </c>
      <c r="F20" s="219">
        <v>1163813</v>
      </c>
      <c r="G20" s="23">
        <f t="shared" si="3"/>
        <v>6.3E-2</v>
      </c>
      <c r="J20" s="2"/>
      <c r="M20" s="69">
        <v>39083</v>
      </c>
      <c r="N20" s="126">
        <v>1.042</v>
      </c>
      <c r="O20" s="43">
        <f>PRODUCT(N$14:N20)</f>
        <v>1.5306654895999998</v>
      </c>
      <c r="P20" s="43">
        <f t="shared" si="5"/>
        <v>1.7097480241636929</v>
      </c>
      <c r="R20">
        <v>1993</v>
      </c>
      <c r="S20">
        <v>1.3</v>
      </c>
      <c r="T20" s="43">
        <f>PRODUCT($S$14:S20)</f>
        <v>0.72905618499999991</v>
      </c>
      <c r="U20" t="s">
        <v>377</v>
      </c>
      <c r="V20">
        <f>AG49</f>
        <v>3.3263533974393513</v>
      </c>
      <c r="AG20">
        <v>0.5</v>
      </c>
      <c r="AH20">
        <v>0.5</v>
      </c>
    </row>
    <row r="21" spans="1:46" x14ac:dyDescent="0.2">
      <c r="A21" t="str">
        <f t="shared" si="4"/>
        <v>1990</v>
      </c>
      <c r="C21" s="219">
        <v>7816199</v>
      </c>
      <c r="D21" s="35">
        <f t="shared" si="6"/>
        <v>2.2331238510709315</v>
      </c>
      <c r="E21" s="125">
        <f t="shared" si="2"/>
        <v>17454540</v>
      </c>
      <c r="F21" s="219">
        <v>5908943</v>
      </c>
      <c r="G21" s="23">
        <f t="shared" si="3"/>
        <v>0.33900000000000002</v>
      </c>
      <c r="J21" s="2"/>
      <c r="M21" s="69">
        <v>39479</v>
      </c>
      <c r="N21" s="126">
        <v>1.0820000000000001</v>
      </c>
      <c r="O21" s="43">
        <f>PRODUCT(N$14:N21)</f>
        <v>1.6561800597471998</v>
      </c>
      <c r="P21" s="43">
        <f t="shared" si="5"/>
        <v>1.5801737746429694</v>
      </c>
      <c r="R21">
        <v>1994</v>
      </c>
      <c r="S21">
        <v>1</v>
      </c>
      <c r="T21" s="43">
        <f>PRODUCT($S$14:S21)</f>
        <v>0.72905618499999991</v>
      </c>
      <c r="U21" t="s">
        <v>80</v>
      </c>
      <c r="V21">
        <f>AH49</f>
        <v>2.9425433900425033</v>
      </c>
      <c r="AH21">
        <v>0.5</v>
      </c>
      <c r="AI21">
        <v>0.5</v>
      </c>
    </row>
    <row r="22" spans="1:46" x14ac:dyDescent="0.2">
      <c r="A22" t="str">
        <f t="shared" si="4"/>
        <v>1991</v>
      </c>
      <c r="C22" s="103">
        <f>'[3]TICO 2'!O34</f>
        <v>8645207.995000001</v>
      </c>
      <c r="D22" s="35">
        <f t="shared" si="6"/>
        <v>1.9551566080504634</v>
      </c>
      <c r="E22" s="125">
        <f>ROUND(C22*D22,0)</f>
        <v>16902736</v>
      </c>
      <c r="F22" s="103">
        <f>'[3]TICO 2'!U34</f>
        <v>13225286.939999999</v>
      </c>
      <c r="G22" s="23">
        <f t="shared" si="3"/>
        <v>0.78200000000000003</v>
      </c>
      <c r="J22" s="2"/>
      <c r="M22" s="69">
        <v>39845</v>
      </c>
      <c r="N22" s="126">
        <v>1.123</v>
      </c>
      <c r="O22" s="43">
        <f>PRODUCT(N$14:N22)</f>
        <v>1.8598902070961054</v>
      </c>
      <c r="P22" s="43">
        <f t="shared" si="5"/>
        <v>1.4071004226562505</v>
      </c>
      <c r="R22">
        <v>1995</v>
      </c>
      <c r="S22">
        <v>1.25</v>
      </c>
      <c r="T22" s="43">
        <f>PRODUCT($S$14:S22)</f>
        <v>0.91132023124999995</v>
      </c>
      <c r="U22" t="s">
        <v>378</v>
      </c>
      <c r="V22">
        <f>AI49</f>
        <v>2.6155941244822252</v>
      </c>
      <c r="AI22">
        <v>0.5</v>
      </c>
      <c r="AJ22">
        <v>0.5</v>
      </c>
    </row>
    <row r="23" spans="1:46" x14ac:dyDescent="0.2">
      <c r="A23" t="str">
        <f t="shared" si="4"/>
        <v>1992</v>
      </c>
      <c r="B23" s="22"/>
      <c r="C23" s="103">
        <f>'[3]TICO 2'!O35</f>
        <v>5826466.6889999993</v>
      </c>
      <c r="D23" s="35">
        <f t="shared" si="6"/>
        <v>2.410467051021119</v>
      </c>
      <c r="E23" s="125">
        <f t="shared" si="2"/>
        <v>14044506</v>
      </c>
      <c r="F23" s="103">
        <f>'[3]TICO 2'!U35</f>
        <v>180484.07</v>
      </c>
      <c r="G23" s="23">
        <f t="shared" si="3"/>
        <v>1.2999999999999999E-2</v>
      </c>
      <c r="J23" s="2"/>
      <c r="M23" s="69">
        <v>40544</v>
      </c>
      <c r="N23" s="126">
        <v>1.05</v>
      </c>
      <c r="O23" s="43">
        <f>PRODUCT(N$14:N23)</f>
        <v>1.9528847174509107</v>
      </c>
      <c r="P23" s="43">
        <f t="shared" si="5"/>
        <v>1.3400956406250004</v>
      </c>
      <c r="R23">
        <v>1996</v>
      </c>
      <c r="S23">
        <v>1</v>
      </c>
      <c r="T23" s="43">
        <f>PRODUCT($S$14:S23)</f>
        <v>0.91132023124999995</v>
      </c>
      <c r="U23" t="s">
        <v>379</v>
      </c>
      <c r="V23">
        <f>AJ49</f>
        <v>2.3540347120340024</v>
      </c>
      <c r="AJ23">
        <v>0.5</v>
      </c>
      <c r="AK23">
        <v>0.5</v>
      </c>
    </row>
    <row r="24" spans="1:46" x14ac:dyDescent="0.2">
      <c r="A24" t="str">
        <f t="shared" si="4"/>
        <v>1993</v>
      </c>
      <c r="B24" s="22"/>
      <c r="C24" s="103">
        <f>'[3]TICO 2'!O36</f>
        <v>5825915.9800000004</v>
      </c>
      <c r="D24" s="35">
        <f t="shared" si="6"/>
        <v>3.3263533974393513</v>
      </c>
      <c r="E24" s="125">
        <f t="shared" si="2"/>
        <v>19379055</v>
      </c>
      <c r="F24" s="103">
        <f>'[3]TICO 2'!U36</f>
        <v>1900088.19</v>
      </c>
      <c r="G24" s="23">
        <f t="shared" si="3"/>
        <v>9.8000000000000004E-2</v>
      </c>
      <c r="J24" s="2"/>
      <c r="M24" s="69">
        <v>40909</v>
      </c>
      <c r="N24" s="126">
        <v>1.05</v>
      </c>
      <c r="O24" s="43">
        <f>PRODUCT(N$14:N24)</f>
        <v>2.0505289533234565</v>
      </c>
      <c r="P24" s="43">
        <f t="shared" si="5"/>
        <v>1.2762815625000004</v>
      </c>
      <c r="R24">
        <v>1997</v>
      </c>
      <c r="S24">
        <v>1</v>
      </c>
      <c r="T24" s="43">
        <f>PRODUCT($S$14:S24)</f>
        <v>0.91132023124999995</v>
      </c>
      <c r="U24" t="s">
        <v>380</v>
      </c>
      <c r="V24">
        <f>AK49</f>
        <v>2.3540347120340024</v>
      </c>
      <c r="AK24">
        <v>0.5</v>
      </c>
      <c r="AL24">
        <v>0.5</v>
      </c>
    </row>
    <row r="25" spans="1:46" x14ac:dyDescent="0.2">
      <c r="A25" t="str">
        <f t="shared" si="4"/>
        <v>1994</v>
      </c>
      <c r="B25" s="22"/>
      <c r="C25" s="103">
        <f>'[3]TICO 2'!O37</f>
        <v>6996873.8389999997</v>
      </c>
      <c r="D25" s="35">
        <f t="shared" si="6"/>
        <v>2.9425433900425033</v>
      </c>
      <c r="E25" s="125">
        <f t="shared" si="2"/>
        <v>20588605</v>
      </c>
      <c r="F25" s="103">
        <f>'[3]TICO 2'!U37</f>
        <v>420037.68</v>
      </c>
      <c r="G25" s="23">
        <f t="shared" si="3"/>
        <v>0.02</v>
      </c>
      <c r="J25" s="2"/>
      <c r="M25" s="69">
        <v>41275</v>
      </c>
      <c r="N25" s="126">
        <v>1.05</v>
      </c>
      <c r="O25" s="43">
        <f>PRODUCT(N$14:N25)</f>
        <v>2.1530554009896297</v>
      </c>
      <c r="P25" s="43">
        <f t="shared" si="5"/>
        <v>1.21550625</v>
      </c>
      <c r="R25">
        <v>1998</v>
      </c>
      <c r="S25">
        <v>1.002</v>
      </c>
      <c r="T25" s="43">
        <f>PRODUCT($S$14:S25)</f>
        <v>0.91314287171249997</v>
      </c>
      <c r="U25" t="s">
        <v>381</v>
      </c>
      <c r="V25">
        <f>AL49</f>
        <v>2.351683029004997</v>
      </c>
      <c r="AL25">
        <v>0.5</v>
      </c>
      <c r="AM25">
        <v>0.5</v>
      </c>
    </row>
    <row r="26" spans="1:46" x14ac:dyDescent="0.2">
      <c r="A26" t="str">
        <f t="shared" si="4"/>
        <v>1995</v>
      </c>
      <c r="C26" s="103">
        <f>'[3]TICO 2'!O38</f>
        <v>8737576.0960000008</v>
      </c>
      <c r="D26" s="35">
        <f t="shared" si="6"/>
        <v>2.6155941244822252</v>
      </c>
      <c r="E26" s="125">
        <f t="shared" si="2"/>
        <v>22853953</v>
      </c>
      <c r="F26" s="103">
        <f>'[3]TICO 2'!U38</f>
        <v>644169</v>
      </c>
      <c r="G26" s="23">
        <f t="shared" si="3"/>
        <v>2.8000000000000001E-2</v>
      </c>
      <c r="J26" s="2"/>
      <c r="M26" s="69">
        <v>41640</v>
      </c>
      <c r="N26" s="126">
        <v>1.05</v>
      </c>
      <c r="O26" s="43">
        <f>PRODUCT(N$14:N26)</f>
        <v>2.260708171039111</v>
      </c>
      <c r="P26" s="43">
        <f t="shared" si="5"/>
        <v>1.1576250000000001</v>
      </c>
      <c r="R26">
        <v>1999</v>
      </c>
      <c r="S26">
        <v>0.90600000000000003</v>
      </c>
      <c r="T26" s="43">
        <f>PRODUCT($S$14:S26)</f>
        <v>0.82730744177152504</v>
      </c>
      <c r="U26" t="s">
        <v>382</v>
      </c>
      <c r="V26">
        <f>AM49</f>
        <v>2.4652004616517251</v>
      </c>
      <c r="AM26">
        <v>0.5</v>
      </c>
      <c r="AN26">
        <v>0.5</v>
      </c>
    </row>
    <row r="27" spans="1:46" x14ac:dyDescent="0.2">
      <c r="A27" t="str">
        <f t="shared" si="4"/>
        <v>1996</v>
      </c>
      <c r="C27" s="103">
        <f>'[3]TICO 2'!O39</f>
        <v>11652672.339</v>
      </c>
      <c r="D27" s="35">
        <f t="shared" si="6"/>
        <v>2.3540347120340024</v>
      </c>
      <c r="E27" s="125">
        <f t="shared" si="2"/>
        <v>27430795</v>
      </c>
      <c r="F27" s="103">
        <f>'[3]TICO 2'!U39</f>
        <v>406004</v>
      </c>
      <c r="G27" s="23">
        <f t="shared" si="3"/>
        <v>1.4999999999999999E-2</v>
      </c>
      <c r="J27" s="2"/>
      <c r="M27" s="69">
        <v>42005</v>
      </c>
      <c r="N27" s="126">
        <v>1.05</v>
      </c>
      <c r="O27" s="43">
        <f>PRODUCT(N$14:N27)</f>
        <v>2.3737435795910669</v>
      </c>
      <c r="P27" s="43">
        <f t="shared" si="5"/>
        <v>1.1025</v>
      </c>
      <c r="R27">
        <v>2000</v>
      </c>
      <c r="S27">
        <v>1.087</v>
      </c>
      <c r="T27" s="43">
        <f>PRODUCT($S$14:S27)</f>
        <v>0.89928318920564765</v>
      </c>
      <c r="U27" t="s">
        <v>383</v>
      </c>
      <c r="V27">
        <f>AN49</f>
        <v>2.4849891105075934</v>
      </c>
      <c r="AN27">
        <v>0.5</v>
      </c>
      <c r="AO27">
        <v>0.5</v>
      </c>
    </row>
    <row r="28" spans="1:46" x14ac:dyDescent="0.2">
      <c r="A28" t="str">
        <f t="shared" si="4"/>
        <v>1997</v>
      </c>
      <c r="C28" s="103">
        <f>'[3]TICO 2'!O40</f>
        <v>12573252.045</v>
      </c>
      <c r="D28" s="35">
        <f t="shared" si="6"/>
        <v>2.3540347120340024</v>
      </c>
      <c r="E28" s="125">
        <f t="shared" si="2"/>
        <v>29597872</v>
      </c>
      <c r="F28" s="103">
        <f>'[3]TICO 2'!U40</f>
        <v>573343</v>
      </c>
      <c r="G28" s="23">
        <f t="shared" si="3"/>
        <v>1.9E-2</v>
      </c>
      <c r="J28" s="2"/>
      <c r="M28" s="69">
        <v>42370</v>
      </c>
      <c r="N28" s="126">
        <v>1.05</v>
      </c>
      <c r="O28" s="43">
        <f>PRODUCT(N$14:N28)</f>
        <v>2.4924307585706202</v>
      </c>
      <c r="P28" s="43">
        <f t="shared" si="5"/>
        <v>1.05</v>
      </c>
      <c r="R28">
        <v>2001</v>
      </c>
      <c r="S28">
        <v>1.1850000000000001</v>
      </c>
      <c r="T28" s="43">
        <f>PRODUCT($S$14:S28)</f>
        <v>1.0656505792086925</v>
      </c>
      <c r="U28" t="s">
        <v>384</v>
      </c>
      <c r="V28">
        <f>AO49</f>
        <v>2.1835641410677664</v>
      </c>
      <c r="AO28">
        <v>0.5</v>
      </c>
      <c r="AP28">
        <v>0.5</v>
      </c>
    </row>
    <row r="29" spans="1:46" x14ac:dyDescent="0.2">
      <c r="A29" t="str">
        <f t="shared" si="4"/>
        <v>1998</v>
      </c>
      <c r="C29" s="103">
        <f>'[3]TICO 2'!O41</f>
        <v>13838930.147</v>
      </c>
      <c r="D29" s="35">
        <f t="shared" si="6"/>
        <v>2.351683029004997</v>
      </c>
      <c r="E29" s="125">
        <f t="shared" si="2"/>
        <v>32544777</v>
      </c>
      <c r="F29" s="103">
        <f>'[3]TICO 2'!U41</f>
        <v>6371206</v>
      </c>
      <c r="G29" s="23">
        <f t="shared" si="3"/>
        <v>0.19600000000000001</v>
      </c>
      <c r="J29" s="2"/>
      <c r="M29" s="69">
        <v>43101</v>
      </c>
      <c r="N29" s="126">
        <v>1.05</v>
      </c>
      <c r="O29" s="43">
        <f>PRODUCT(N$14:N29)</f>
        <v>2.6170522964991512</v>
      </c>
      <c r="P29" s="43">
        <f>O$29/O29</f>
        <v>1</v>
      </c>
      <c r="R29">
        <v>2002</v>
      </c>
      <c r="S29">
        <v>1</v>
      </c>
      <c r="T29" s="43">
        <f>PRODUCT($S$14:S29)</f>
        <v>1.0656505792086925</v>
      </c>
      <c r="U29" t="s">
        <v>385</v>
      </c>
      <c r="V29">
        <f>AP49</f>
        <v>2.0131171511531938</v>
      </c>
      <c r="AP29">
        <v>0.5</v>
      </c>
      <c r="AQ29">
        <v>0.5</v>
      </c>
    </row>
    <row r="30" spans="1:46" x14ac:dyDescent="0.2">
      <c r="A30" t="str">
        <f t="shared" si="4"/>
        <v>1999</v>
      </c>
      <c r="C30" s="103">
        <f>'[3]TICO 2'!O42</f>
        <v>14103814.475</v>
      </c>
      <c r="D30" s="35">
        <f t="shared" si="6"/>
        <v>2.4652004616517251</v>
      </c>
      <c r="E30" s="125">
        <f t="shared" si="2"/>
        <v>34768730</v>
      </c>
      <c r="F30" s="103">
        <f>'[3]TICO 2'!U42</f>
        <v>742130</v>
      </c>
      <c r="G30" s="23">
        <f t="shared" si="3"/>
        <v>2.1000000000000001E-2</v>
      </c>
      <c r="J30" s="2"/>
      <c r="R30">
        <v>2003</v>
      </c>
      <c r="S30">
        <v>1</v>
      </c>
      <c r="T30" s="43">
        <f>PRODUCT($S$14:S30)</f>
        <v>1.0656505792086925</v>
      </c>
      <c r="U30" t="s">
        <v>386</v>
      </c>
      <c r="V30">
        <f>AQ49</f>
        <v>2.0131171511531938</v>
      </c>
      <c r="AQ30">
        <v>0.5</v>
      </c>
      <c r="AR30">
        <v>0.5</v>
      </c>
    </row>
    <row r="31" spans="1:46" x14ac:dyDescent="0.2">
      <c r="A31" t="str">
        <f t="shared" si="4"/>
        <v>2000</v>
      </c>
      <c r="C31" s="103">
        <f>'[3]TICO 2'!O43</f>
        <v>15784217.73</v>
      </c>
      <c r="D31" s="35">
        <f t="shared" si="6"/>
        <v>2.4849891105075934</v>
      </c>
      <c r="E31" s="125">
        <f t="shared" si="2"/>
        <v>39223609</v>
      </c>
      <c r="F31" s="103">
        <f>'[3]TICO 2'!U43</f>
        <v>324948</v>
      </c>
      <c r="G31" s="23">
        <f t="shared" si="3"/>
        <v>8.0000000000000002E-3</v>
      </c>
      <c r="H31" s="247"/>
      <c r="J31" s="2"/>
      <c r="R31">
        <v>2004</v>
      </c>
      <c r="S31">
        <v>1.0960000000000001</v>
      </c>
      <c r="T31" s="43">
        <f>PRODUCT($S$14:S31)</f>
        <v>1.1679530348127272</v>
      </c>
      <c r="U31" t="s">
        <v>387</v>
      </c>
      <c r="V31">
        <f>AR49</f>
        <v>1.9209133121690778</v>
      </c>
      <c r="AR31">
        <v>0.5</v>
      </c>
      <c r="AS31">
        <v>0.5</v>
      </c>
    </row>
    <row r="32" spans="1:46" x14ac:dyDescent="0.2">
      <c r="A32" t="str">
        <f t="shared" si="4"/>
        <v>2001</v>
      </c>
      <c r="C32" s="103">
        <f>'[3]TICO 2'!O44</f>
        <v>17776665.91</v>
      </c>
      <c r="D32" s="35">
        <f t="shared" si="6"/>
        <v>2.1835641410677664</v>
      </c>
      <c r="E32" s="125">
        <f t="shared" si="2"/>
        <v>38816490</v>
      </c>
      <c r="F32" s="103">
        <f>'[3]TICO 2'!U44</f>
        <v>1947817</v>
      </c>
      <c r="G32" s="23">
        <f t="shared" si="3"/>
        <v>0.05</v>
      </c>
      <c r="H32" s="247"/>
      <c r="J32" s="2"/>
      <c r="R32">
        <v>2005</v>
      </c>
      <c r="S32">
        <v>1</v>
      </c>
      <c r="T32" s="43">
        <f>PRODUCT($S$14:S32)</f>
        <v>1.1679530348127272</v>
      </c>
      <c r="U32" t="s">
        <v>388</v>
      </c>
      <c r="V32">
        <f>AS49</f>
        <v>1.8367857218551038</v>
      </c>
      <c r="AS32">
        <v>0.5</v>
      </c>
      <c r="AT32" s="306">
        <v>0.5</v>
      </c>
    </row>
    <row r="33" spans="1:59" x14ac:dyDescent="0.2">
      <c r="A33" t="str">
        <f t="shared" si="4"/>
        <v>2002</v>
      </c>
      <c r="C33" s="103">
        <f>'[3]TICO 2'!O45</f>
        <v>20514469</v>
      </c>
      <c r="D33" s="35">
        <f t="shared" si="6"/>
        <v>2.0131171511531938</v>
      </c>
      <c r="E33" s="125">
        <f t="shared" ref="E33:E47" si="7">ROUND(C33*D33,0)</f>
        <v>41298029</v>
      </c>
      <c r="F33" s="103">
        <f>'[3]TICO 2'!U45</f>
        <v>10059284</v>
      </c>
      <c r="G33" s="23">
        <f t="shared" si="3"/>
        <v>0.24399999999999999</v>
      </c>
      <c r="H33" s="247"/>
      <c r="J33" s="2"/>
      <c r="R33">
        <v>2006</v>
      </c>
      <c r="S33">
        <v>1</v>
      </c>
      <c r="T33" s="43">
        <f>PRODUCT($S$14:S33)</f>
        <v>1.1679530348127272</v>
      </c>
      <c r="U33" t="s">
        <v>389</v>
      </c>
      <c r="V33">
        <f>AT49</f>
        <v>1.8336278072980903</v>
      </c>
      <c r="AT33" s="306">
        <f>0.5-AT34</f>
        <v>0.44444444444444442</v>
      </c>
      <c r="AU33">
        <f>0.5*(8/12)^2</f>
        <v>0.22222222222222221</v>
      </c>
    </row>
    <row r="34" spans="1:59" x14ac:dyDescent="0.2">
      <c r="A34" t="str">
        <f t="shared" si="4"/>
        <v>2003</v>
      </c>
      <c r="C34" s="103">
        <f>'[3]TICO 2'!O46</f>
        <v>25868450</v>
      </c>
      <c r="D34" s="104">
        <f>'[3]TWIA 5'!$J249</f>
        <v>2.0131171511531929</v>
      </c>
      <c r="E34" s="125">
        <f t="shared" si="7"/>
        <v>52076220</v>
      </c>
      <c r="F34" s="103">
        <f>'[3]TICO 2'!U46</f>
        <v>2672918</v>
      </c>
      <c r="G34" s="23">
        <f t="shared" si="3"/>
        <v>5.0999999999999997E-2</v>
      </c>
      <c r="H34" s="247"/>
      <c r="J34" s="2"/>
      <c r="Q34" s="69">
        <v>42614</v>
      </c>
      <c r="R34">
        <v>2006.66666667</v>
      </c>
      <c r="S34">
        <v>1.0309999999999999</v>
      </c>
      <c r="T34" s="43">
        <f>PRODUCT($S$14:S34)</f>
        <v>1.2041595788919217</v>
      </c>
      <c r="U34" t="s">
        <v>390</v>
      </c>
      <c r="V34">
        <f>AT49</f>
        <v>1.8336278072980903</v>
      </c>
      <c r="AT34" s="306">
        <f>0.5*(4/12)^2</f>
        <v>5.5555555555555552E-2</v>
      </c>
      <c r="AU34">
        <f>0.5-AU33</f>
        <v>0.27777777777777779</v>
      </c>
    </row>
    <row r="35" spans="1:59" x14ac:dyDescent="0.2">
      <c r="A35" t="str">
        <f t="shared" si="4"/>
        <v>2004</v>
      </c>
      <c r="B35" s="60"/>
      <c r="C35" s="103">
        <f>'[3]TICO 2'!O47</f>
        <v>30357860</v>
      </c>
      <c r="D35" s="104">
        <f>'[3]TWIA 5'!$J250</f>
        <v>1.9195987469434546</v>
      </c>
      <c r="E35" s="125">
        <f t="shared" si="7"/>
        <v>58274910</v>
      </c>
      <c r="F35" s="103">
        <f>'[3]TICO 2'!U47</f>
        <v>731759</v>
      </c>
      <c r="G35" s="23">
        <f t="shared" si="3"/>
        <v>1.2999999999999999E-2</v>
      </c>
      <c r="J35" s="2"/>
      <c r="R35">
        <v>2007</v>
      </c>
      <c r="S35">
        <v>1.042</v>
      </c>
      <c r="T35" s="43">
        <f>PRODUCT($S$14:S35)</f>
        <v>1.2547342812053826</v>
      </c>
      <c r="U35" t="s">
        <v>391</v>
      </c>
      <c r="V35">
        <f>AU49</f>
        <v>1.7564087495037835</v>
      </c>
      <c r="AU35">
        <v>0.5</v>
      </c>
      <c r="AV35">
        <f>1-AV36</f>
        <v>0.57986111111111116</v>
      </c>
      <c r="AW35">
        <f>0.5*(1/12)^2</f>
        <v>3.472222222222222E-3</v>
      </c>
    </row>
    <row r="36" spans="1:59" x14ac:dyDescent="0.2">
      <c r="A36" t="str">
        <f t="shared" si="4"/>
        <v>2005</v>
      </c>
      <c r="C36" s="103">
        <f>'[3]TICO 2'!O48</f>
        <v>36780457</v>
      </c>
      <c r="D36" s="104">
        <f>'[3]TWIA 5'!$J251</f>
        <v>1.8367857218551029</v>
      </c>
      <c r="E36" s="125">
        <f t="shared" si="7"/>
        <v>67557818</v>
      </c>
      <c r="F36" s="103">
        <f>'[3]TICO 2'!U48</f>
        <v>34527644</v>
      </c>
      <c r="G36" s="23">
        <f t="shared" si="3"/>
        <v>0.51100000000000001</v>
      </c>
      <c r="J36" s="2"/>
      <c r="Q36" s="69">
        <v>39479</v>
      </c>
      <c r="R36">
        <v>2008.0833333</v>
      </c>
      <c r="S36">
        <v>1.0820000000000001</v>
      </c>
      <c r="T36" s="43">
        <f>PRODUCT($S$14:S36)</f>
        <v>1.3576224922642239</v>
      </c>
      <c r="U36" t="s">
        <v>392</v>
      </c>
      <c r="V36">
        <f>AV49</f>
        <v>1.652806543186282</v>
      </c>
      <c r="AV36">
        <f>0.5*(11/12)^2</f>
        <v>0.42013888888888884</v>
      </c>
      <c r="AW36">
        <f>1-AW35-AW37</f>
        <v>0.57638888888888895</v>
      </c>
      <c r="AX36">
        <f>0.5*(1/12)^2</f>
        <v>3.472222222222222E-3</v>
      </c>
    </row>
    <row r="37" spans="1:59" x14ac:dyDescent="0.2">
      <c r="A37" t="str">
        <f t="shared" si="4"/>
        <v>2006</v>
      </c>
      <c r="C37" s="103">
        <f>'[3]TICO 2'!O49</f>
        <v>43562211</v>
      </c>
      <c r="D37" s="104">
        <f>'[3]TWIA 5'!$J252</f>
        <v>1.8323775762609837</v>
      </c>
      <c r="E37" s="125">
        <f t="shared" si="7"/>
        <v>79822419</v>
      </c>
      <c r="F37" s="103">
        <f>'[3]TICO 2'!U49</f>
        <v>813430</v>
      </c>
      <c r="G37" s="23">
        <f t="shared" si="3"/>
        <v>0.01</v>
      </c>
      <c r="J37" s="2"/>
      <c r="Q37" s="69">
        <v>39845</v>
      </c>
      <c r="R37">
        <v>2009.08</v>
      </c>
      <c r="S37">
        <v>1.123</v>
      </c>
      <c r="T37" s="43">
        <f>PRODUCT($S$14:S37)</f>
        <v>1.5246100588127234</v>
      </c>
      <c r="U37" t="s">
        <v>393</v>
      </c>
      <c r="V37">
        <f>AW49</f>
        <v>1.5029035816476448</v>
      </c>
      <c r="AW37">
        <f>0.5*(11/12)^2</f>
        <v>0.42013888888888884</v>
      </c>
      <c r="AX37">
        <f>0.5-AX36</f>
        <v>0.49652777777777779</v>
      </c>
    </row>
    <row r="38" spans="1:59" x14ac:dyDescent="0.2">
      <c r="A38" s="50" t="str">
        <f t="shared" si="4"/>
        <v>2007</v>
      </c>
      <c r="B38" s="51"/>
      <c r="C38" s="103">
        <f>'[3]TICO 2'!O50</f>
        <v>59282257</v>
      </c>
      <c r="D38" s="104">
        <f>'[3]TWIA 5'!$J253</f>
        <v>1.7490128310516411</v>
      </c>
      <c r="E38" s="125">
        <f t="shared" si="7"/>
        <v>103685428</v>
      </c>
      <c r="F38" s="103">
        <f>'[3]TICO 2'!U50</f>
        <v>2757645</v>
      </c>
      <c r="G38" s="53">
        <f t="shared" si="3"/>
        <v>2.7E-2</v>
      </c>
      <c r="J38" s="2"/>
      <c r="R38">
        <v>2010</v>
      </c>
      <c r="S38">
        <v>1</v>
      </c>
      <c r="T38" s="43">
        <f>PRODUCT($S$14:S38)</f>
        <v>1.5246100588127234</v>
      </c>
      <c r="U38" t="s">
        <v>394</v>
      </c>
      <c r="V38">
        <f>AX49</f>
        <v>1.407635754597651</v>
      </c>
      <c r="AX38">
        <v>0.5</v>
      </c>
      <c r="AY38">
        <v>0.5</v>
      </c>
    </row>
    <row r="39" spans="1:59" x14ac:dyDescent="0.2">
      <c r="A39" s="50" t="str">
        <f t="shared" si="4"/>
        <v>2008</v>
      </c>
      <c r="B39" s="60"/>
      <c r="C39" s="103">
        <f>'[3]TICO 2'!O51</f>
        <v>73789694</v>
      </c>
      <c r="D39" s="104">
        <f>'[3]TWIA 5'!$J254</f>
        <v>1.6495345789525933</v>
      </c>
      <c r="E39" s="125">
        <f t="shared" si="7"/>
        <v>121718652</v>
      </c>
      <c r="F39" s="103">
        <f>'[3]TICO 2'!U51-K41</f>
        <v>845466768</v>
      </c>
      <c r="G39" s="53">
        <f>ROUND(F39/E39,3)</f>
        <v>6.9459999999999997</v>
      </c>
      <c r="H39" s="43"/>
      <c r="I39" s="43"/>
      <c r="J39" s="2"/>
      <c r="R39">
        <v>2011</v>
      </c>
      <c r="S39">
        <v>1.05</v>
      </c>
      <c r="T39" s="43">
        <f>PRODUCT($S$14:S39)</f>
        <v>1.6008405617533596</v>
      </c>
      <c r="U39" t="s">
        <v>395</v>
      </c>
      <c r="V39" s="60">
        <f>AY49</f>
        <v>1.3727809001524396</v>
      </c>
      <c r="AY39">
        <v>0.5</v>
      </c>
      <c r="AZ39">
        <v>0.5</v>
      </c>
    </row>
    <row r="40" spans="1:59" x14ac:dyDescent="0.2">
      <c r="A40" s="50" t="str">
        <f t="shared" si="4"/>
        <v>2009</v>
      </c>
      <c r="B40" s="60"/>
      <c r="C40" s="103">
        <f>'[3]TICO 2'!O52</f>
        <v>81999709</v>
      </c>
      <c r="D40" s="104">
        <f>'[3]TWIA 5'!$J255</f>
        <v>1.4987056675771686</v>
      </c>
      <c r="E40" s="125">
        <f>ROUND(C40*D40,0)</f>
        <v>122893429</v>
      </c>
      <c r="F40" s="103">
        <f>'[3]TICO 2'!U52</f>
        <v>3581024</v>
      </c>
      <c r="G40" s="53">
        <f t="shared" si="3"/>
        <v>2.9000000000000001E-2</v>
      </c>
      <c r="J40" s="2"/>
      <c r="K40" t="s">
        <v>330</v>
      </c>
      <c r="R40">
        <v>2012</v>
      </c>
      <c r="S40">
        <v>1.05</v>
      </c>
      <c r="T40" s="43">
        <f>PRODUCT($S$14:S40)</f>
        <v>1.6808825898410278</v>
      </c>
      <c r="U40" t="s">
        <v>396</v>
      </c>
      <c r="V40" s="60">
        <f>AZ49</f>
        <v>1.3074103810975615</v>
      </c>
      <c r="AZ40">
        <v>0.5</v>
      </c>
      <c r="BA40">
        <v>0.5</v>
      </c>
    </row>
    <row r="41" spans="1:59" x14ac:dyDescent="0.2">
      <c r="A41" s="50" t="str">
        <f t="shared" si="4"/>
        <v>2010</v>
      </c>
      <c r="B41" s="60"/>
      <c r="C41" s="103">
        <f>'[3]TICO 2'!O53</f>
        <v>89665314</v>
      </c>
      <c r="D41" s="104">
        <f>'[3]TWIA 5'!$J256</f>
        <v>1.4074808531397425</v>
      </c>
      <c r="E41" s="125">
        <f t="shared" si="7"/>
        <v>126202213</v>
      </c>
      <c r="F41" s="103">
        <f>'[3]TICO 2'!U53</f>
        <v>1451547</v>
      </c>
      <c r="G41" s="53">
        <f t="shared" si="3"/>
        <v>1.2E-2</v>
      </c>
      <c r="H41" s="19"/>
      <c r="J41" s="2"/>
      <c r="K41" s="309">
        <v>206858309</v>
      </c>
      <c r="L41" s="19"/>
      <c r="R41">
        <v>2013</v>
      </c>
      <c r="S41">
        <v>1.05</v>
      </c>
      <c r="T41" s="43">
        <f>PRODUCT($S$14:S41)</f>
        <v>1.7649267193330793</v>
      </c>
      <c r="U41" t="s">
        <v>397</v>
      </c>
      <c r="V41" s="60">
        <f>BA49</f>
        <v>1.2451527439024392</v>
      </c>
      <c r="BA41">
        <v>0.5</v>
      </c>
      <c r="BB41">
        <v>0.5</v>
      </c>
    </row>
    <row r="42" spans="1:59" x14ac:dyDescent="0.2">
      <c r="A42" s="50" t="str">
        <f t="shared" si="4"/>
        <v>2011</v>
      </c>
      <c r="B42" s="60"/>
      <c r="C42" s="103">
        <f>'[3]TICO 2'!O54</f>
        <v>93230854</v>
      </c>
      <c r="D42" s="104">
        <f>'[3]TWIA 5'!$J257</f>
        <v>1.3727166755238378</v>
      </c>
      <c r="E42" s="125">
        <f t="shared" si="7"/>
        <v>127979548</v>
      </c>
      <c r="F42" s="103">
        <f>'[3]TICO 2'!U54</f>
        <v>1329886</v>
      </c>
      <c r="G42" s="53">
        <f t="shared" si="3"/>
        <v>0.01</v>
      </c>
      <c r="J42" s="2"/>
      <c r="R42">
        <v>2014</v>
      </c>
      <c r="S42">
        <v>1.05</v>
      </c>
      <c r="T42" s="43">
        <f>PRODUCT($S$14:S42)</f>
        <v>1.8531730552997334</v>
      </c>
      <c r="U42" s="60" t="s">
        <v>398</v>
      </c>
      <c r="V42" s="60">
        <f>BB49</f>
        <v>1.185859756097561</v>
      </c>
      <c r="BB42">
        <v>0.5</v>
      </c>
      <c r="BC42">
        <v>0.5</v>
      </c>
    </row>
    <row r="43" spans="1:59" s="60" customFormat="1" x14ac:dyDescent="0.2">
      <c r="A43" s="50" t="str">
        <f t="shared" si="4"/>
        <v>2012</v>
      </c>
      <c r="B43" s="45"/>
      <c r="C43" s="103">
        <f>'[3]TICO 2'!O55</f>
        <v>99629727</v>
      </c>
      <c r="D43" s="104">
        <f>'[3]TWIA 5'!$J258</f>
        <v>1.3073731976777445</v>
      </c>
      <c r="E43" s="125">
        <f>ROUND(C43*D43,0)</f>
        <v>130253235</v>
      </c>
      <c r="F43" s="103">
        <f>'[3]TICO 2'!U55</f>
        <v>10756644</v>
      </c>
      <c r="G43" s="53">
        <f t="shared" ref="G43:G50" si="8">ROUND(F43/E43,3)</f>
        <v>8.3000000000000004E-2</v>
      </c>
      <c r="I43"/>
      <c r="J43" s="2"/>
      <c r="M43"/>
      <c r="N43"/>
      <c r="O43"/>
      <c r="R43" s="60">
        <v>2015</v>
      </c>
      <c r="S43" s="60">
        <v>1.05</v>
      </c>
      <c r="T43" s="43">
        <f>PRODUCT($S$14:S43)</f>
        <v>1.9458317080647203</v>
      </c>
      <c r="U43" s="60" t="s">
        <v>399</v>
      </c>
      <c r="V43" s="60">
        <f>BC49</f>
        <v>1.1293902439024393</v>
      </c>
      <c r="AT43" s="306"/>
      <c r="BC43">
        <v>0.5</v>
      </c>
      <c r="BD43">
        <v>0.5</v>
      </c>
    </row>
    <row r="44" spans="1:59" s="60" customFormat="1" x14ac:dyDescent="0.2">
      <c r="A44" s="50" t="str">
        <f t="shared" si="4"/>
        <v>2013</v>
      </c>
      <c r="B44" s="45"/>
      <c r="C44" s="103">
        <f>'[3]TICO 2'!O56</f>
        <v>107104250</v>
      </c>
      <c r="D44" s="104">
        <f>'[3]TWIA 5'!$J259</f>
        <v>1.2452851041347781</v>
      </c>
      <c r="E44" s="125">
        <f>ROUND(C44*D44,0)</f>
        <v>133375327</v>
      </c>
      <c r="F44" s="103">
        <f>'[3]TICO 2'!U56</f>
        <v>54316145</v>
      </c>
      <c r="G44" s="53">
        <f t="shared" si="8"/>
        <v>0.40699999999999997</v>
      </c>
      <c r="I44"/>
      <c r="J44" s="2"/>
      <c r="M44"/>
      <c r="N44"/>
      <c r="O44"/>
      <c r="R44" s="60">
        <v>2016</v>
      </c>
      <c r="S44" s="60">
        <v>1.05</v>
      </c>
      <c r="T44" s="43">
        <f>PRODUCT($S$14:S44)</f>
        <v>2.0431232934679562</v>
      </c>
      <c r="U44" s="60" t="s">
        <v>400</v>
      </c>
      <c r="V44" s="60">
        <f>BD49</f>
        <v>1.075609756097561</v>
      </c>
      <c r="AT44" s="306"/>
      <c r="BD44">
        <v>0.5</v>
      </c>
      <c r="BE44">
        <v>0.5</v>
      </c>
    </row>
    <row r="45" spans="1:59" s="60" customFormat="1" x14ac:dyDescent="0.2">
      <c r="A45" s="50" t="str">
        <f t="shared" si="4"/>
        <v>2014</v>
      </c>
      <c r="B45" s="45"/>
      <c r="C45" s="103">
        <f>'[3]TICO 2'!O57</f>
        <v>114784032</v>
      </c>
      <c r="D45" s="104">
        <f>'[3]TWIA 5'!$J260</f>
        <v>1.1862347753925764</v>
      </c>
      <c r="E45" s="125">
        <f t="shared" si="7"/>
        <v>136160810</v>
      </c>
      <c r="F45" s="103">
        <f>'[3]TICO 2'!U57</f>
        <v>691708</v>
      </c>
      <c r="G45" s="53">
        <f t="shared" si="8"/>
        <v>5.0000000000000001E-3</v>
      </c>
      <c r="I45"/>
      <c r="J45" s="2"/>
      <c r="M45"/>
      <c r="N45"/>
      <c r="O45"/>
      <c r="R45" s="60">
        <v>2017</v>
      </c>
      <c r="S45" s="60">
        <v>1</v>
      </c>
      <c r="T45" s="43">
        <f>PRODUCT($S$14:S45)</f>
        <v>2.0431232934679562</v>
      </c>
      <c r="U45" s="60" t="s">
        <v>401</v>
      </c>
      <c r="V45" s="60">
        <f>BE49</f>
        <v>1.05</v>
      </c>
      <c r="AT45" s="306"/>
      <c r="BE45">
        <v>0.5</v>
      </c>
      <c r="BF45">
        <v>0.5</v>
      </c>
    </row>
    <row r="46" spans="1:59" x14ac:dyDescent="0.2">
      <c r="A46" s="50" t="str">
        <f t="shared" si="4"/>
        <v>2015</v>
      </c>
      <c r="B46" s="45"/>
      <c r="C46" s="103">
        <f>'[3]TICO 2'!O58</f>
        <v>122782019</v>
      </c>
      <c r="D46" s="104">
        <f>'[3]TWIA 5'!$J261</f>
        <v>1.1299661810216541</v>
      </c>
      <c r="E46" s="125">
        <f t="shared" si="7"/>
        <v>138739529</v>
      </c>
      <c r="F46" s="103">
        <f>'[3]TICO 2'!U58</f>
        <v>17655480</v>
      </c>
      <c r="G46" s="53">
        <f t="shared" si="8"/>
        <v>0.127</v>
      </c>
      <c r="J46" s="2"/>
      <c r="N46" s="19"/>
      <c r="R46">
        <v>2018</v>
      </c>
      <c r="S46">
        <v>1.05</v>
      </c>
      <c r="T46" s="43">
        <f>PRODUCT($S$14:S46)</f>
        <v>2.1452794581413541</v>
      </c>
      <c r="U46" s="60" t="s">
        <v>402</v>
      </c>
      <c r="V46" s="60">
        <f>BF49</f>
        <v>1.0243902439024393</v>
      </c>
      <c r="BF46">
        <v>0.5</v>
      </c>
      <c r="BG46">
        <v>0.5</v>
      </c>
    </row>
    <row r="47" spans="1:59" s="60" customFormat="1" x14ac:dyDescent="0.2">
      <c r="A47" s="51">
        <v>2016</v>
      </c>
      <c r="B47" s="45"/>
      <c r="C47" s="103">
        <f>'[3]TICO 2'!O59</f>
        <v>127007324</v>
      </c>
      <c r="D47" s="104">
        <f>'[3]TWIA 5'!$J262</f>
        <v>1.0765597532120244</v>
      </c>
      <c r="E47" s="125">
        <f t="shared" si="7"/>
        <v>136730973</v>
      </c>
      <c r="F47" s="103">
        <f>'[3]TICO 2'!U59</f>
        <v>11291643</v>
      </c>
      <c r="G47" s="53">
        <f t="shared" si="8"/>
        <v>8.3000000000000004E-2</v>
      </c>
      <c r="H47" s="50"/>
      <c r="I47"/>
      <c r="J47" s="2"/>
      <c r="M47"/>
      <c r="N47"/>
      <c r="O47"/>
      <c r="R47" s="60">
        <v>2019</v>
      </c>
      <c r="S47" s="60">
        <v>1</v>
      </c>
      <c r="T47" s="43">
        <f>PRODUCT($S$14:S47)</f>
        <v>2.1452794581413541</v>
      </c>
      <c r="U47" s="60" t="s">
        <v>403</v>
      </c>
      <c r="V47">
        <f>BG49</f>
        <v>1</v>
      </c>
      <c r="AT47" s="306"/>
      <c r="BG47">
        <v>0.5</v>
      </c>
    </row>
    <row r="48" spans="1:59" s="60" customFormat="1" x14ac:dyDescent="0.2">
      <c r="A48" s="51">
        <v>2017</v>
      </c>
      <c r="B48" s="45"/>
      <c r="C48" s="103">
        <f>'[3]TICO 2'!O60</f>
        <v>126002753</v>
      </c>
      <c r="D48" s="104">
        <f>'[3]TWIA 5'!$J263</f>
        <v>1.0500000000000014</v>
      </c>
      <c r="E48" s="125">
        <f>ROUND(C48*D48,0)</f>
        <v>132302891</v>
      </c>
      <c r="F48" s="103">
        <f>'[3]TICO 2'!U60</f>
        <v>40819572</v>
      </c>
      <c r="G48" s="53">
        <f t="shared" si="8"/>
        <v>0.309</v>
      </c>
      <c r="H48" s="50"/>
      <c r="I48"/>
      <c r="J48" s="2"/>
      <c r="M48"/>
      <c r="N48"/>
      <c r="O48"/>
      <c r="T48" s="43"/>
      <c r="W48" s="60">
        <f>SUMPRODUCT($T$14:$T$47,W14:W47)</f>
        <v>1</v>
      </c>
      <c r="X48" s="60">
        <f t="shared" ref="X48:BG48" si="9">SUMPRODUCT($T$14:$T$47,X14:X47)</f>
        <v>1</v>
      </c>
      <c r="Y48" s="60">
        <f t="shared" si="9"/>
        <v>1</v>
      </c>
      <c r="Z48" s="60">
        <f t="shared" si="9"/>
        <v>1</v>
      </c>
      <c r="AA48" s="60">
        <f t="shared" si="9"/>
        <v>1</v>
      </c>
      <c r="AB48" s="60">
        <f t="shared" si="9"/>
        <v>0.97299999999999998</v>
      </c>
      <c r="AC48" s="60">
        <f t="shared" si="9"/>
        <v>0.94599999999999995</v>
      </c>
      <c r="AD48" s="60">
        <f t="shared" si="9"/>
        <v>0.96066299999999993</v>
      </c>
      <c r="AE48" s="60">
        <f t="shared" si="9"/>
        <v>1.0972417499999998</v>
      </c>
      <c r="AF48" s="60">
        <f t="shared" si="9"/>
        <v>0.88998497499999996</v>
      </c>
      <c r="AG48" s="60">
        <f t="shared" si="9"/>
        <v>0.64493431749999997</v>
      </c>
      <c r="AH48" s="60">
        <f t="shared" si="9"/>
        <v>0.72905618499999991</v>
      </c>
      <c r="AI48" s="60">
        <f t="shared" si="9"/>
        <v>0.82018820812499993</v>
      </c>
      <c r="AJ48" s="60">
        <f t="shared" si="9"/>
        <v>0.91132023124999995</v>
      </c>
      <c r="AK48" s="60">
        <f t="shared" si="9"/>
        <v>0.91132023124999995</v>
      </c>
      <c r="AL48" s="60">
        <f t="shared" si="9"/>
        <v>0.91223155148125001</v>
      </c>
      <c r="AM48" s="60">
        <f t="shared" si="9"/>
        <v>0.87022515674201251</v>
      </c>
      <c r="AN48" s="60">
        <f t="shared" si="9"/>
        <v>0.86329531548858629</v>
      </c>
      <c r="AO48" s="60">
        <f t="shared" si="9"/>
        <v>0.9824668842071701</v>
      </c>
      <c r="AP48" s="60">
        <f t="shared" si="9"/>
        <v>1.0656505792086925</v>
      </c>
      <c r="AQ48" s="60">
        <f t="shared" si="9"/>
        <v>1.0656505792086925</v>
      </c>
      <c r="AR48" s="60">
        <f t="shared" si="9"/>
        <v>1.11680180701071</v>
      </c>
      <c r="AS48" s="60">
        <f t="shared" si="9"/>
        <v>1.1679530348127272</v>
      </c>
      <c r="AT48" s="306">
        <f>SUMPRODUCT($T$14:$T$47,AT14:AT47)</f>
        <v>1.1699645094837936</v>
      </c>
      <c r="AU48" s="60">
        <f>SUMPRODUCT($T$14:$T$47,AU14:AU47)</f>
        <v>1.2214010313643868</v>
      </c>
      <c r="AV48" s="60">
        <f t="shared" si="9"/>
        <v>1.2979616198794097</v>
      </c>
      <c r="AW48" s="60">
        <f t="shared" si="9"/>
        <v>1.4274232121993267</v>
      </c>
      <c r="AX48" s="60">
        <f t="shared" si="9"/>
        <v>1.5240302408733188</v>
      </c>
      <c r="AY48" s="60">
        <f t="shared" si="9"/>
        <v>1.5627253102830414</v>
      </c>
      <c r="AZ48" s="60">
        <f t="shared" si="9"/>
        <v>1.6408615757971936</v>
      </c>
      <c r="BA48" s="60">
        <f t="shared" si="9"/>
        <v>1.7229046545870537</v>
      </c>
      <c r="BB48" s="60">
        <f t="shared" si="9"/>
        <v>1.8090498873164065</v>
      </c>
      <c r="BC48" s="60">
        <f t="shared" si="9"/>
        <v>1.8995023816822267</v>
      </c>
      <c r="BD48" s="60">
        <f t="shared" si="9"/>
        <v>1.9944775007663382</v>
      </c>
      <c r="BE48" s="60">
        <f t="shared" si="9"/>
        <v>2.0431232934679562</v>
      </c>
      <c r="BF48" s="60">
        <f t="shared" si="9"/>
        <v>2.0942013758046549</v>
      </c>
      <c r="BG48" s="60">
        <f t="shared" si="9"/>
        <v>2.1452794581413541</v>
      </c>
    </row>
    <row r="49" spans="1:59" s="60" customFormat="1" x14ac:dyDescent="0.2">
      <c r="A49" s="51">
        <v>2018</v>
      </c>
      <c r="B49" s="45"/>
      <c r="C49" s="103">
        <f>'[3]TICO 2'!O61</f>
        <v>122707170</v>
      </c>
      <c r="D49" s="104">
        <f>'[3]TWIA 5'!$J264</f>
        <v>1.0255439472483592</v>
      </c>
      <c r="E49" s="125">
        <f>ROUND(C49*D49,0)</f>
        <v>125841595</v>
      </c>
      <c r="F49" s="103">
        <f>'[3]TICO 2'!U61</f>
        <v>2980015</v>
      </c>
      <c r="G49" s="53">
        <f t="shared" si="8"/>
        <v>2.4E-2</v>
      </c>
      <c r="H49"/>
      <c r="I49"/>
      <c r="J49" s="2"/>
      <c r="M49"/>
      <c r="N49"/>
      <c r="O49"/>
      <c r="W49" s="60">
        <f>$T$47/W48</f>
        <v>2.1452794581413541</v>
      </c>
      <c r="X49" s="60">
        <f t="shared" ref="X49:BG49" si="10">$T$47/X48</f>
        <v>2.1452794581413541</v>
      </c>
      <c r="Y49" s="60">
        <f t="shared" si="10"/>
        <v>2.1452794581413541</v>
      </c>
      <c r="Z49" s="60">
        <f t="shared" si="10"/>
        <v>2.1452794581413541</v>
      </c>
      <c r="AA49" s="60">
        <f t="shared" si="10"/>
        <v>2.1452794581413541</v>
      </c>
      <c r="AB49" s="60">
        <f t="shared" si="10"/>
        <v>2.2048093094977945</v>
      </c>
      <c r="AC49" s="60">
        <f t="shared" si="10"/>
        <v>2.267737270762531</v>
      </c>
      <c r="AD49" s="60">
        <f t="shared" si="10"/>
        <v>2.2331238510709315</v>
      </c>
      <c r="AE49" s="60">
        <f t="shared" si="10"/>
        <v>1.9551566080504634</v>
      </c>
      <c r="AF49" s="60">
        <f t="shared" si="10"/>
        <v>2.410467051021119</v>
      </c>
      <c r="AG49" s="60">
        <f t="shared" si="10"/>
        <v>3.3263533974393513</v>
      </c>
      <c r="AH49" s="60">
        <f t="shared" si="10"/>
        <v>2.9425433900425033</v>
      </c>
      <c r="AI49" s="60">
        <f t="shared" si="10"/>
        <v>2.6155941244822252</v>
      </c>
      <c r="AJ49" s="60">
        <f t="shared" si="10"/>
        <v>2.3540347120340024</v>
      </c>
      <c r="AK49" s="60">
        <f t="shared" si="10"/>
        <v>2.3540347120340024</v>
      </c>
      <c r="AL49" s="60">
        <f t="shared" si="10"/>
        <v>2.351683029004997</v>
      </c>
      <c r="AM49" s="60">
        <f t="shared" si="10"/>
        <v>2.4652004616517251</v>
      </c>
      <c r="AN49" s="60">
        <f t="shared" si="10"/>
        <v>2.4849891105075934</v>
      </c>
      <c r="AO49" s="60">
        <f t="shared" si="10"/>
        <v>2.1835641410677664</v>
      </c>
      <c r="AP49" s="60">
        <f t="shared" si="10"/>
        <v>2.0131171511531938</v>
      </c>
      <c r="AQ49" s="60">
        <f t="shared" si="10"/>
        <v>2.0131171511531938</v>
      </c>
      <c r="AR49" s="60">
        <f t="shared" si="10"/>
        <v>1.9209133121690778</v>
      </c>
      <c r="AS49" s="60">
        <f t="shared" si="10"/>
        <v>1.8367857218551038</v>
      </c>
      <c r="AT49" s="306">
        <f>$T$47/AT48</f>
        <v>1.8336278072980903</v>
      </c>
      <c r="AU49" s="60">
        <f>$T$47/AU48</f>
        <v>1.7564087495037835</v>
      </c>
      <c r="AV49" s="60">
        <f t="shared" si="10"/>
        <v>1.652806543186282</v>
      </c>
      <c r="AW49" s="60">
        <f t="shared" si="10"/>
        <v>1.5029035816476448</v>
      </c>
      <c r="AX49" s="60">
        <f t="shared" si="10"/>
        <v>1.407635754597651</v>
      </c>
      <c r="AY49" s="60">
        <f t="shared" si="10"/>
        <v>1.3727809001524396</v>
      </c>
      <c r="AZ49" s="60">
        <f t="shared" si="10"/>
        <v>1.3074103810975615</v>
      </c>
      <c r="BA49" s="60">
        <f t="shared" si="10"/>
        <v>1.2451527439024392</v>
      </c>
      <c r="BB49" s="60">
        <f t="shared" si="10"/>
        <v>1.185859756097561</v>
      </c>
      <c r="BC49" s="60">
        <f t="shared" si="10"/>
        <v>1.1293902439024393</v>
      </c>
      <c r="BD49" s="60">
        <f t="shared" si="10"/>
        <v>1.075609756097561</v>
      </c>
      <c r="BE49" s="60">
        <f t="shared" si="10"/>
        <v>1.05</v>
      </c>
      <c r="BF49" s="60">
        <f t="shared" si="10"/>
        <v>1.0243902439024393</v>
      </c>
      <c r="BG49" s="60">
        <f t="shared" si="10"/>
        <v>1</v>
      </c>
    </row>
    <row r="50" spans="1:59" s="60" customFormat="1" x14ac:dyDescent="0.2">
      <c r="A50" s="26">
        <v>2019</v>
      </c>
      <c r="B50" s="187"/>
      <c r="C50" s="83">
        <f>'[3]TICO 2'!O62</f>
        <v>121969675</v>
      </c>
      <c r="D50" s="67">
        <f>'[3]TWIA 5'!$J265</f>
        <v>0.999999999999997</v>
      </c>
      <c r="E50" s="32">
        <f>ROUND(C50*D50,0)</f>
        <v>121969675</v>
      </c>
      <c r="F50" s="83">
        <f>'[3]TICO 2'!U62</f>
        <v>4945341</v>
      </c>
      <c r="G50" s="87">
        <f t="shared" si="8"/>
        <v>4.1000000000000002E-2</v>
      </c>
      <c r="H50"/>
      <c r="I50"/>
      <c r="J50" s="2"/>
      <c r="M50"/>
      <c r="N50"/>
      <c r="O50"/>
      <c r="AT50" s="306"/>
    </row>
    <row r="51" spans="1:59" s="60" customFormat="1" x14ac:dyDescent="0.2">
      <c r="A51" s="51"/>
      <c r="B51" s="45"/>
      <c r="C51" s="103"/>
      <c r="D51" s="216"/>
      <c r="E51" s="125"/>
      <c r="F51" s="103"/>
      <c r="G51" s="53"/>
      <c r="H51"/>
      <c r="I51"/>
      <c r="J51" s="2"/>
      <c r="M51"/>
      <c r="N51"/>
      <c r="O51"/>
      <c r="AT51" s="306"/>
    </row>
    <row r="52" spans="1:59" x14ac:dyDescent="0.2">
      <c r="A52" s="50"/>
      <c r="B52" s="45"/>
      <c r="C52" s="103"/>
      <c r="D52" s="216"/>
      <c r="E52" s="125"/>
      <c r="F52" s="103"/>
      <c r="G52" s="53"/>
      <c r="J52" s="2"/>
    </row>
    <row r="53" spans="1:59" x14ac:dyDescent="0.2">
      <c r="A53" s="60" t="s">
        <v>9</v>
      </c>
      <c r="B53" s="60"/>
      <c r="C53" s="31">
        <f>SUM(C14:C50)</f>
        <v>1671292130.2449999</v>
      </c>
      <c r="D53" s="31"/>
      <c r="E53" s="31">
        <f>SUM(E14:E50)</f>
        <v>2367807963</v>
      </c>
      <c r="F53" s="31">
        <f>SUM(F14:F50)</f>
        <v>1201429666.8800001</v>
      </c>
      <c r="G53" s="23">
        <f>ROUND(F53/E53,3)</f>
        <v>0.50700000000000001</v>
      </c>
      <c r="J53" s="2"/>
      <c r="K53" t="s">
        <v>217</v>
      </c>
      <c r="L53" t="s">
        <v>218</v>
      </c>
      <c r="M53" s="60"/>
      <c r="N53" s="60"/>
      <c r="O53" s="60"/>
    </row>
    <row r="54" spans="1:59" s="60" customFormat="1" ht="12" thickBot="1" x14ac:dyDescent="0.25">
      <c r="A54" s="6"/>
      <c r="B54" s="6"/>
      <c r="C54" s="6"/>
      <c r="D54" s="6"/>
      <c r="E54" s="6"/>
      <c r="F54" s="6"/>
      <c r="G54" s="6"/>
      <c r="I54"/>
      <c r="J54" s="2"/>
      <c r="K54" s="84">
        <f>'[3]TICO 2'!$E$1</f>
        <v>43738</v>
      </c>
      <c r="L54" s="84">
        <f>'[3]TICO 2'!$E$2</f>
        <v>43830</v>
      </c>
      <c r="M54"/>
      <c r="N54"/>
      <c r="O54"/>
      <c r="AT54" s="306"/>
    </row>
    <row r="55" spans="1:59" s="60" customFormat="1" ht="12" thickTop="1" x14ac:dyDescent="0.2">
      <c r="A55"/>
      <c r="B55"/>
      <c r="C55"/>
      <c r="D55"/>
      <c r="E55"/>
      <c r="F55"/>
      <c r="G55"/>
      <c r="H55"/>
      <c r="I55"/>
      <c r="J55" s="2"/>
      <c r="M55"/>
      <c r="N55"/>
      <c r="O55"/>
      <c r="AT55" s="306"/>
    </row>
    <row r="56" spans="1:59" x14ac:dyDescent="0.2">
      <c r="A56" t="s">
        <v>17</v>
      </c>
      <c r="F56" s="45"/>
      <c r="J56" s="2"/>
      <c r="M56" s="60"/>
      <c r="N56" s="60"/>
      <c r="O56" s="60"/>
    </row>
    <row r="57" spans="1:59" x14ac:dyDescent="0.2">
      <c r="A57" s="22" t="str">
        <f>C12&amp;" Provided by TDI.  Accident years ending "&amp;TEXT($K$54,"m/d/xx")&amp;" as of "&amp;TEXT($L$54,"m/d/yyyy")</f>
        <v>(2) Provided by TDI.  Accident years ending 9/30/xx as of 12/31/2019</v>
      </c>
      <c r="J57" s="2"/>
      <c r="M57" s="60"/>
      <c r="N57" s="60"/>
      <c r="O57" s="60"/>
    </row>
    <row r="58" spans="1:59" x14ac:dyDescent="0.2">
      <c r="A58" s="22" t="str">
        <f>D12&amp;" 1987 and prior judgementally selected; 1988 - 2019 based on TWIA on-level factors"</f>
        <v>(3) 1987 and prior judgementally selected; 1988 - 2019 based on TWIA on-level factors</v>
      </c>
      <c r="J58" s="2"/>
    </row>
    <row r="59" spans="1:59" x14ac:dyDescent="0.2">
      <c r="A59" s="22" t="str">
        <f>E12&amp;" = "&amp;C12&amp;" * "&amp;D12</f>
        <v>(4) = (2) * (3)</v>
      </c>
      <c r="J59" s="2"/>
    </row>
    <row r="60" spans="1:59" x14ac:dyDescent="0.2">
      <c r="A60" s="22" t="str">
        <f>F12&amp;" Provided by TDI. Accidn't yrs ending "&amp;TEXT($K$54,"m/d/xx")&amp;" as of "&amp;TEXT($L$54,"m/d/yyyy")&amp;"; "&amp;" 2008 IKE incurred loss was adjusted down by $206,858,309"</f>
        <v>(5) Provided by TDI. Accidn't yrs ending 9/30/xx as of 12/31/2019;  2008 IKE incurred loss was adjusted down by $206,858,309</v>
      </c>
      <c r="B60" s="60"/>
      <c r="C60" s="60"/>
      <c r="D60" s="60"/>
      <c r="E60" s="60"/>
      <c r="F60" s="60"/>
      <c r="J60" s="2"/>
      <c r="K60" s="43"/>
    </row>
    <row r="61" spans="1:59" x14ac:dyDescent="0.2">
      <c r="A61" t="s">
        <v>345</v>
      </c>
      <c r="J61" s="2"/>
      <c r="K61" s="43"/>
    </row>
    <row r="62" spans="1:59" s="60" customFormat="1" ht="12" thickBot="1" x14ac:dyDescent="0.25">
      <c r="A62" s="22" t="str">
        <f>G12&amp;" = "&amp;F12&amp;" / "&amp;E12</f>
        <v>(6) = (5) / (4)</v>
      </c>
      <c r="B62" s="22"/>
      <c r="C62"/>
      <c r="D62" s="61"/>
      <c r="E62" s="61"/>
      <c r="F62" s="61"/>
      <c r="G62" s="23"/>
      <c r="H62"/>
      <c r="I62"/>
      <c r="J62" s="2"/>
      <c r="M62"/>
      <c r="N62"/>
      <c r="O62"/>
      <c r="AT62" s="306"/>
    </row>
    <row r="63" spans="1:59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rgb="FF92D050"/>
  </sheetPr>
  <dimension ref="A1:L63"/>
  <sheetViews>
    <sheetView showGridLines="0" workbookViewId="0">
      <selection activeCell="A19" sqref="A19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1" x14ac:dyDescent="0.2">
      <c r="A1" s="8" t="str">
        <f>'1'!$A$1</f>
        <v>Texas Windstorm Insurance Association</v>
      </c>
      <c r="B1" s="12"/>
      <c r="I1" s="7" t="s">
        <v>106</v>
      </c>
      <c r="J1" s="1"/>
    </row>
    <row r="2" spans="1:11" x14ac:dyDescent="0.2">
      <c r="A2" s="8" t="str">
        <f>'1'!$A$2</f>
        <v>Residential Property - Wind &amp; Hail</v>
      </c>
      <c r="B2" s="12"/>
      <c r="I2" s="7" t="s">
        <v>94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107</v>
      </c>
      <c r="B4" s="12"/>
      <c r="J4" s="2"/>
    </row>
    <row r="5" spans="1:11" x14ac:dyDescent="0.2">
      <c r="A5" t="s">
        <v>45</v>
      </c>
      <c r="B5" s="12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J7" s="2"/>
    </row>
    <row r="8" spans="1:11" ht="12" thickTop="1" x14ac:dyDescent="0.2">
      <c r="J8" s="2"/>
    </row>
    <row r="9" spans="1:11" x14ac:dyDescent="0.2">
      <c r="C9" s="22"/>
      <c r="D9" t="s">
        <v>37</v>
      </c>
      <c r="E9" t="s">
        <v>44</v>
      </c>
      <c r="J9" s="2"/>
      <c r="K9" s="27"/>
    </row>
    <row r="10" spans="1:11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1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1" x14ac:dyDescent="0.2">
      <c r="J13" s="2"/>
    </row>
    <row r="14" spans="1:11" x14ac:dyDescent="0.2">
      <c r="A14" s="191">
        <v>1983</v>
      </c>
      <c r="C14" s="38">
        <v>2331938</v>
      </c>
      <c r="D14" s="104">
        <f>'6.4'!D14</f>
        <v>2.1452794581413541</v>
      </c>
      <c r="E14" s="31">
        <f t="shared" ref="E14:E45" si="0">C14*D14</f>
        <v>5002658.6890592333</v>
      </c>
      <c r="F14" s="38">
        <v>377010</v>
      </c>
      <c r="G14" s="23">
        <f>F14/E14</f>
        <v>7.5361927213726823E-2</v>
      </c>
      <c r="J14" s="2"/>
    </row>
    <row r="15" spans="1:11" x14ac:dyDescent="0.2">
      <c r="A15" t="str">
        <f>TEXT(A14+1,"#")</f>
        <v>1984</v>
      </c>
      <c r="C15" s="38">
        <v>1632317</v>
      </c>
      <c r="D15" s="104">
        <f>'6.4'!D15</f>
        <v>2.1452794581413541</v>
      </c>
      <c r="E15" s="31">
        <f t="shared" si="0"/>
        <v>3501776.1292749206</v>
      </c>
      <c r="F15" s="38">
        <v>249086</v>
      </c>
      <c r="G15" s="23">
        <f>F15/E15</f>
        <v>7.1131331874026982E-2</v>
      </c>
      <c r="J15" s="2"/>
    </row>
    <row r="16" spans="1:11" x14ac:dyDescent="0.2">
      <c r="A16" t="str">
        <f t="shared" ref="A16:A46" si="1">TEXT(A15+1,"#")</f>
        <v>1985</v>
      </c>
      <c r="C16" s="38">
        <v>2505564</v>
      </c>
      <c r="D16" s="104">
        <f>'6.4'!D16</f>
        <v>2.1452794581413541</v>
      </c>
      <c r="E16" s="31">
        <f t="shared" si="0"/>
        <v>5375134.9802584834</v>
      </c>
      <c r="F16" s="38">
        <v>467721</v>
      </c>
      <c r="G16" s="23">
        <f>F16/E16</f>
        <v>8.7015675274727311E-2</v>
      </c>
      <c r="J16" s="2"/>
    </row>
    <row r="17" spans="1:10" x14ac:dyDescent="0.2">
      <c r="A17" t="str">
        <f t="shared" si="1"/>
        <v>1986</v>
      </c>
      <c r="C17" s="38">
        <v>2977992</v>
      </c>
      <c r="D17" s="104">
        <f>'6.4'!D17</f>
        <v>2.1452794581413541</v>
      </c>
      <c r="E17" s="31">
        <f t="shared" si="0"/>
        <v>6388625.0641092872</v>
      </c>
      <c r="F17" s="38">
        <v>189449</v>
      </c>
      <c r="G17" s="23">
        <f t="shared" ref="G17:G47" si="2">ROUND(F17/E17,3)</f>
        <v>0.03</v>
      </c>
      <c r="J17" s="2"/>
    </row>
    <row r="18" spans="1:10" x14ac:dyDescent="0.2">
      <c r="A18" t="str">
        <f t="shared" si="1"/>
        <v>1987</v>
      </c>
      <c r="C18" s="38">
        <v>3639667</v>
      </c>
      <c r="D18" s="104">
        <f>'6.4'!D18</f>
        <v>2.1452794581413541</v>
      </c>
      <c r="E18" s="31">
        <f t="shared" si="0"/>
        <v>7808102.8495749682</v>
      </c>
      <c r="F18" s="38">
        <v>335212</v>
      </c>
      <c r="G18" s="23">
        <f t="shared" si="2"/>
        <v>4.2999999999999997E-2</v>
      </c>
      <c r="J18" s="2"/>
    </row>
    <row r="19" spans="1:10" x14ac:dyDescent="0.2">
      <c r="A19" t="str">
        <f t="shared" si="1"/>
        <v>1988</v>
      </c>
      <c r="C19" s="219">
        <v>3971251</v>
      </c>
      <c r="D19" s="104">
        <f>'6.4'!D19</f>
        <v>2.2048093094977945</v>
      </c>
      <c r="E19" s="31">
        <f t="shared" si="0"/>
        <v>8755851.1751524266</v>
      </c>
      <c r="F19" s="219">
        <v>626491</v>
      </c>
      <c r="G19" s="23">
        <f t="shared" si="2"/>
        <v>7.1999999999999995E-2</v>
      </c>
      <c r="J19" s="2"/>
    </row>
    <row r="20" spans="1:10" x14ac:dyDescent="0.2">
      <c r="A20" t="str">
        <f t="shared" si="1"/>
        <v>1989</v>
      </c>
      <c r="C20" s="219">
        <v>3702536</v>
      </c>
      <c r="D20" s="104">
        <f>'6.4'!D20</f>
        <v>2.267737270762531</v>
      </c>
      <c r="E20" s="31">
        <f t="shared" si="0"/>
        <v>8396378.8835400175</v>
      </c>
      <c r="F20" s="219">
        <v>550215</v>
      </c>
      <c r="G20" s="23">
        <f t="shared" si="2"/>
        <v>6.6000000000000003E-2</v>
      </c>
      <c r="J20" s="2"/>
    </row>
    <row r="21" spans="1:10" x14ac:dyDescent="0.2">
      <c r="A21" t="str">
        <f t="shared" si="1"/>
        <v>1990</v>
      </c>
      <c r="C21" s="219">
        <v>3519306</v>
      </c>
      <c r="D21" s="104">
        <f>'6.4'!D21</f>
        <v>2.2331238510709315</v>
      </c>
      <c r="E21" s="31">
        <f t="shared" si="0"/>
        <v>7859046.1678170357</v>
      </c>
      <c r="F21" s="219">
        <v>955271</v>
      </c>
      <c r="G21" s="23">
        <f>ROUND(F21/E21,3)</f>
        <v>0.122</v>
      </c>
      <c r="J21" s="2"/>
    </row>
    <row r="22" spans="1:10" x14ac:dyDescent="0.2">
      <c r="A22" t="str">
        <f t="shared" si="1"/>
        <v>1991</v>
      </c>
      <c r="C22" s="103">
        <f>'[3]TICO 2'!P34</f>
        <v>4065189.75</v>
      </c>
      <c r="D22" s="104">
        <f>'6.4'!D22</f>
        <v>1.9551566080504634</v>
      </c>
      <c r="E22" s="31">
        <f t="shared" si="0"/>
        <v>7948082.6026915116</v>
      </c>
      <c r="F22" s="103">
        <f>'[3]TICO 2'!V34</f>
        <v>1367254.07</v>
      </c>
      <c r="G22" s="23">
        <f t="shared" si="2"/>
        <v>0.17199999999999999</v>
      </c>
      <c r="J22" s="2"/>
    </row>
    <row r="23" spans="1:10" x14ac:dyDescent="0.2">
      <c r="A23" t="str">
        <f t="shared" si="1"/>
        <v>1992</v>
      </c>
      <c r="B23" s="22"/>
      <c r="C23" s="103">
        <f>'[3]TICO 2'!P35</f>
        <v>3907711.7768000001</v>
      </c>
      <c r="D23" s="104">
        <f>'6.4'!D23</f>
        <v>2.410467051021119</v>
      </c>
      <c r="E23" s="31">
        <f t="shared" si="0"/>
        <v>9419410.4828635938</v>
      </c>
      <c r="F23" s="103">
        <f>'[3]TICO 2'!V35</f>
        <v>1170577.6100000001</v>
      </c>
      <c r="G23" s="23">
        <f t="shared" si="2"/>
        <v>0.124</v>
      </c>
      <c r="J23" s="2"/>
    </row>
    <row r="24" spans="1:10" x14ac:dyDescent="0.2">
      <c r="A24" t="str">
        <f t="shared" si="1"/>
        <v>1993</v>
      </c>
      <c r="B24" s="22"/>
      <c r="C24" s="103">
        <f>'[3]TICO 2'!P36</f>
        <v>4552394.5719999997</v>
      </c>
      <c r="D24" s="104">
        <f>'6.4'!D24</f>
        <v>3.3263533974393513</v>
      </c>
      <c r="E24" s="31">
        <f t="shared" si="0"/>
        <v>15142873.15105666</v>
      </c>
      <c r="F24" s="103">
        <f>'[3]TICO 2'!V36</f>
        <v>1312776.43</v>
      </c>
      <c r="G24" s="23">
        <f t="shared" si="2"/>
        <v>8.6999999999999994E-2</v>
      </c>
      <c r="J24" s="2"/>
    </row>
    <row r="25" spans="1:10" x14ac:dyDescent="0.2">
      <c r="A25" t="str">
        <f t="shared" si="1"/>
        <v>1994</v>
      </c>
      <c r="B25" s="22"/>
      <c r="C25" s="103">
        <f>'[3]TICO 2'!P37</f>
        <v>5710806.3159999996</v>
      </c>
      <c r="D25" s="104">
        <f>'6.4'!D25</f>
        <v>2.9425433900425033</v>
      </c>
      <c r="E25" s="31">
        <f t="shared" si="0"/>
        <v>16804295.37695878</v>
      </c>
      <c r="F25" s="103">
        <f>'[3]TICO 2'!V37</f>
        <v>856368.8</v>
      </c>
      <c r="G25" s="23">
        <f t="shared" si="2"/>
        <v>5.0999999999999997E-2</v>
      </c>
      <c r="J25" s="2"/>
    </row>
    <row r="26" spans="1:10" x14ac:dyDescent="0.2">
      <c r="A26" t="str">
        <f t="shared" si="1"/>
        <v>1995</v>
      </c>
      <c r="C26" s="103">
        <f>'[3]TICO 2'!P38</f>
        <v>6908551.5030000005</v>
      </c>
      <c r="D26" s="104">
        <f>'6.4'!D26</f>
        <v>2.6155941244822252</v>
      </c>
      <c r="E26" s="31">
        <f t="shared" si="0"/>
        <v>18069966.719929647</v>
      </c>
      <c r="F26" s="103">
        <f>'[3]TICO 2'!V38</f>
        <v>1552987</v>
      </c>
      <c r="G26" s="23">
        <f t="shared" si="2"/>
        <v>8.5999999999999993E-2</v>
      </c>
      <c r="J26" s="2"/>
    </row>
    <row r="27" spans="1:10" x14ac:dyDescent="0.2">
      <c r="A27" t="str">
        <f t="shared" si="1"/>
        <v>1996</v>
      </c>
      <c r="C27" s="103">
        <f>'[3]TICO 2'!P39</f>
        <v>8568167.9450000003</v>
      </c>
      <c r="D27" s="104">
        <f>'6.4'!D27</f>
        <v>2.3540347120340024</v>
      </c>
      <c r="E27" s="31">
        <f t="shared" si="0"/>
        <v>20169764.761067044</v>
      </c>
      <c r="F27" s="103">
        <f>'[3]TICO 2'!V39</f>
        <v>1061115</v>
      </c>
      <c r="G27" s="23">
        <f t="shared" si="2"/>
        <v>5.2999999999999999E-2</v>
      </c>
      <c r="J27" s="2"/>
    </row>
    <row r="28" spans="1:10" x14ac:dyDescent="0.2">
      <c r="A28" t="str">
        <f t="shared" si="1"/>
        <v>1997</v>
      </c>
      <c r="C28" s="103">
        <f>'[3]TICO 2'!P40</f>
        <v>8425344.438000001</v>
      </c>
      <c r="D28" s="104">
        <f>'6.4'!D28</f>
        <v>2.3540347120340024</v>
      </c>
      <c r="E28" s="31">
        <f t="shared" si="0"/>
        <v>19833553.267894614</v>
      </c>
      <c r="F28" s="103">
        <f>'[3]TICO 2'!V40</f>
        <v>882561</v>
      </c>
      <c r="G28" s="23">
        <f t="shared" si="2"/>
        <v>4.3999999999999997E-2</v>
      </c>
      <c r="J28" s="2"/>
    </row>
    <row r="29" spans="1:10" x14ac:dyDescent="0.2">
      <c r="A29" t="str">
        <f t="shared" si="1"/>
        <v>1998</v>
      </c>
      <c r="C29" s="103">
        <f>'[3]TICO 2'!P41</f>
        <v>8803621.2709999997</v>
      </c>
      <c r="D29" s="104">
        <f>'6.4'!D29</f>
        <v>2.351683029004997</v>
      </c>
      <c r="E29" s="31">
        <f t="shared" si="0"/>
        <v>20703326.7367981</v>
      </c>
      <c r="F29" s="103">
        <f>'[3]TICO 2'!V41</f>
        <v>2289890</v>
      </c>
      <c r="G29" s="23">
        <f t="shared" si="2"/>
        <v>0.111</v>
      </c>
      <c r="J29" s="2"/>
    </row>
    <row r="30" spans="1:10" x14ac:dyDescent="0.2">
      <c r="A30" t="str">
        <f t="shared" si="1"/>
        <v>1999</v>
      </c>
      <c r="C30" s="103">
        <f>'[3]TICO 2'!P42</f>
        <v>8465255.5940000005</v>
      </c>
      <c r="D30" s="104">
        <f>'6.4'!D30</f>
        <v>2.4652004616517251</v>
      </c>
      <c r="E30" s="31">
        <f t="shared" si="0"/>
        <v>20868551.998328649</v>
      </c>
      <c r="F30" s="103">
        <f>'[3]TICO 2'!V42</f>
        <v>3778386</v>
      </c>
      <c r="G30" s="23">
        <f t="shared" si="2"/>
        <v>0.18099999999999999</v>
      </c>
      <c r="J30" s="2"/>
    </row>
    <row r="31" spans="1:10" x14ac:dyDescent="0.2">
      <c r="A31" t="str">
        <f t="shared" si="1"/>
        <v>2000</v>
      </c>
      <c r="C31" s="103">
        <f>'[3]TICO 2'!P43</f>
        <v>8437094.091</v>
      </c>
      <c r="D31" s="104">
        <f>'6.4'!D31</f>
        <v>2.4849891105075934</v>
      </c>
      <c r="E31" s="31">
        <f t="shared" si="0"/>
        <v>20966086.940462962</v>
      </c>
      <c r="F31" s="103">
        <f>'[3]TICO 2'!V43</f>
        <v>485581</v>
      </c>
      <c r="G31" s="23">
        <f t="shared" si="2"/>
        <v>2.3E-2</v>
      </c>
      <c r="J31" s="2"/>
    </row>
    <row r="32" spans="1:10" x14ac:dyDescent="0.2">
      <c r="A32" t="str">
        <f t="shared" si="1"/>
        <v>2001</v>
      </c>
      <c r="C32" s="103">
        <f>'[3]TICO 2'!P44</f>
        <v>8894551.5980000012</v>
      </c>
      <c r="D32" s="104">
        <f>'6.4'!D32</f>
        <v>2.1835641410677664</v>
      </c>
      <c r="E32" s="31">
        <f t="shared" si="0"/>
        <v>19421823.920269802</v>
      </c>
      <c r="F32" s="103">
        <f>'[3]TICO 2'!V44</f>
        <v>1394445</v>
      </c>
      <c r="G32" s="23">
        <f t="shared" si="2"/>
        <v>7.1999999999999995E-2</v>
      </c>
      <c r="J32" s="2"/>
    </row>
    <row r="33" spans="1:10" x14ac:dyDescent="0.2">
      <c r="A33" t="str">
        <f t="shared" si="1"/>
        <v>2002</v>
      </c>
      <c r="C33" s="103">
        <f>'[3]TICO 2'!P45</f>
        <v>10534795</v>
      </c>
      <c r="D33" s="104">
        <f>'6.4'!D33</f>
        <v>2.0131171511531938</v>
      </c>
      <c r="E33" s="31">
        <f t="shared" si="0"/>
        <v>21207776.498382911</v>
      </c>
      <c r="F33" s="103">
        <f>'[3]TICO 2'!V45</f>
        <v>1227528</v>
      </c>
      <c r="G33" s="23">
        <f t="shared" si="2"/>
        <v>5.8000000000000003E-2</v>
      </c>
      <c r="J33" s="2"/>
    </row>
    <row r="34" spans="1:10" x14ac:dyDescent="0.2">
      <c r="A34" t="str">
        <f t="shared" si="1"/>
        <v>2003</v>
      </c>
      <c r="C34" s="103">
        <f>'[3]TICO 2'!P46</f>
        <v>13881847</v>
      </c>
      <c r="D34" s="104">
        <f>'[3]TWIA 5'!$J$249</f>
        <v>2.0131171511531929</v>
      </c>
      <c r="E34" s="31">
        <f t="shared" si="0"/>
        <v>27945784.285384499</v>
      </c>
      <c r="F34" s="103">
        <f>'[3]TICO 2'!V46</f>
        <v>2295803</v>
      </c>
      <c r="G34" s="23">
        <f t="shared" si="2"/>
        <v>8.2000000000000003E-2</v>
      </c>
      <c r="J34" s="2"/>
    </row>
    <row r="35" spans="1:10" x14ac:dyDescent="0.2">
      <c r="A35" t="str">
        <f t="shared" si="1"/>
        <v>2004</v>
      </c>
      <c r="B35" s="60"/>
      <c r="C35" s="103">
        <f>'[3]TICO 2'!P47</f>
        <v>15458506</v>
      </c>
      <c r="D35" s="104">
        <f>'6.4'!D35</f>
        <v>1.9195987469434546</v>
      </c>
      <c r="E35" s="31">
        <f t="shared" si="0"/>
        <v>29674128.747217875</v>
      </c>
      <c r="F35" s="103">
        <f>'[3]TICO 2'!V47</f>
        <v>569877</v>
      </c>
      <c r="G35" s="23">
        <f t="shared" si="2"/>
        <v>1.9E-2</v>
      </c>
      <c r="J35" s="2"/>
    </row>
    <row r="36" spans="1:10" x14ac:dyDescent="0.2">
      <c r="A36" t="str">
        <f t="shared" si="1"/>
        <v>2005</v>
      </c>
      <c r="C36" s="103">
        <f>'[3]TICO 2'!P48</f>
        <v>17471646</v>
      </c>
      <c r="D36" s="104">
        <f>'6.4'!D36</f>
        <v>1.8367857218551029</v>
      </c>
      <c r="E36" s="31">
        <f t="shared" si="0"/>
        <v>32091669.910106823</v>
      </c>
      <c r="F36" s="103">
        <f>'[3]TICO 2'!V48</f>
        <v>872451</v>
      </c>
      <c r="G36" s="23">
        <f t="shared" si="2"/>
        <v>2.7E-2</v>
      </c>
      <c r="J36" s="2"/>
    </row>
    <row r="37" spans="1:10" x14ac:dyDescent="0.2">
      <c r="A37" t="str">
        <f t="shared" si="1"/>
        <v>2006</v>
      </c>
      <c r="C37" s="103">
        <f>'[3]TICO 2'!P49</f>
        <v>19888512</v>
      </c>
      <c r="D37" s="104">
        <f>'6.4'!D37</f>
        <v>1.8323775762609837</v>
      </c>
      <c r="E37" s="31">
        <f t="shared" si="0"/>
        <v>36443263.413997494</v>
      </c>
      <c r="F37" s="103">
        <f>'[3]TICO 2'!V49</f>
        <v>621501</v>
      </c>
      <c r="G37" s="23">
        <f t="shared" si="2"/>
        <v>1.7000000000000001E-2</v>
      </c>
      <c r="J37" s="2"/>
    </row>
    <row r="38" spans="1:10" x14ac:dyDescent="0.2">
      <c r="A38" s="50" t="str">
        <f t="shared" si="1"/>
        <v>2007</v>
      </c>
      <c r="B38" s="51"/>
      <c r="C38" s="103">
        <f>'[3]TICO 2'!P50</f>
        <v>29704042</v>
      </c>
      <c r="D38" s="104">
        <f>'6.4'!D38</f>
        <v>1.7490128310516411</v>
      </c>
      <c r="E38" s="31">
        <f t="shared" si="0"/>
        <v>51952750.59209685</v>
      </c>
      <c r="F38" s="103">
        <f>'[3]TICO 2'!V50</f>
        <v>833793</v>
      </c>
      <c r="G38" s="53">
        <f t="shared" si="2"/>
        <v>1.6E-2</v>
      </c>
      <c r="J38" s="2"/>
    </row>
    <row r="39" spans="1:10" x14ac:dyDescent="0.2">
      <c r="A39" s="50" t="str">
        <f t="shared" si="1"/>
        <v>2008</v>
      </c>
      <c r="B39" s="60"/>
      <c r="C39" s="103">
        <f>'[3]TICO 2'!P51</f>
        <v>40565108</v>
      </c>
      <c r="D39" s="104">
        <f>'6.4'!D39</f>
        <v>1.6495345789525933</v>
      </c>
      <c r="E39" s="31">
        <f>C39*D39</f>
        <v>66913548.344946474</v>
      </c>
      <c r="F39" s="103">
        <f>'[3]TICO 2'!V51</f>
        <v>1468028</v>
      </c>
      <c r="G39" s="53">
        <f t="shared" si="2"/>
        <v>2.1999999999999999E-2</v>
      </c>
      <c r="J39" s="2"/>
    </row>
    <row r="40" spans="1:10" x14ac:dyDescent="0.2">
      <c r="A40" s="50" t="str">
        <f t="shared" si="1"/>
        <v>2009</v>
      </c>
      <c r="C40" s="103">
        <f>'[3]TICO 2'!P52</f>
        <v>46363445</v>
      </c>
      <c r="D40" s="104">
        <f>'6.4'!D40</f>
        <v>1.4987056675771686</v>
      </c>
      <c r="E40" s="31">
        <f t="shared" si="0"/>
        <v>69485157.789902344</v>
      </c>
      <c r="F40" s="103">
        <f>'[3]TICO 2'!V52</f>
        <v>615469</v>
      </c>
      <c r="G40" s="53">
        <f t="shared" si="2"/>
        <v>8.9999999999999993E-3</v>
      </c>
      <c r="J40" s="2"/>
    </row>
    <row r="41" spans="1:10" x14ac:dyDescent="0.2">
      <c r="A41" s="50" t="str">
        <f t="shared" si="1"/>
        <v>2010</v>
      </c>
      <c r="C41" s="103">
        <f>'[3]TICO 2'!P53</f>
        <v>51529115</v>
      </c>
      <c r="D41" s="104">
        <f>'6.4'!D41</f>
        <v>1.4074808531397425</v>
      </c>
      <c r="E41" s="31">
        <f t="shared" si="0"/>
        <v>72526242.741735905</v>
      </c>
      <c r="F41" s="103">
        <f>'[3]TICO 2'!V53</f>
        <v>4059049</v>
      </c>
      <c r="G41" s="53">
        <f t="shared" si="2"/>
        <v>5.6000000000000001E-2</v>
      </c>
      <c r="J41" s="2"/>
    </row>
    <row r="42" spans="1:10" x14ac:dyDescent="0.2">
      <c r="A42" s="50" t="str">
        <f t="shared" si="1"/>
        <v>2011</v>
      </c>
      <c r="C42" s="103">
        <f>'[3]TICO 2'!P54</f>
        <v>52931755</v>
      </c>
      <c r="D42" s="104">
        <f>'6.4'!D42</f>
        <v>1.3727166755238378</v>
      </c>
      <c r="E42" s="31">
        <f t="shared" si="0"/>
        <v>72660302.753242284</v>
      </c>
      <c r="F42" s="103">
        <f>'[3]TICO 2'!V54</f>
        <v>19843778</v>
      </c>
      <c r="G42" s="53">
        <f t="shared" si="2"/>
        <v>0.27300000000000002</v>
      </c>
      <c r="J42" s="2"/>
    </row>
    <row r="43" spans="1:10" s="60" customFormat="1" x14ac:dyDescent="0.2">
      <c r="A43" s="50" t="str">
        <f t="shared" si="1"/>
        <v>2012</v>
      </c>
      <c r="B43" s="50"/>
      <c r="C43" s="103">
        <f>'[3]TICO 2'!P55</f>
        <v>56334273</v>
      </c>
      <c r="D43" s="104">
        <f>'6.4'!D43</f>
        <v>1.3073731976777445</v>
      </c>
      <c r="E43" s="31">
        <f t="shared" si="0"/>
        <v>73649918.630861029</v>
      </c>
      <c r="F43" s="103">
        <f>'[3]TICO 2'!V55</f>
        <v>21286940</v>
      </c>
      <c r="G43" s="53">
        <f t="shared" si="2"/>
        <v>0.28899999999999998</v>
      </c>
      <c r="H43"/>
      <c r="I43"/>
      <c r="J43" s="2"/>
    </row>
    <row r="44" spans="1:10" s="60" customFormat="1" x14ac:dyDescent="0.2">
      <c r="A44" s="50" t="str">
        <f t="shared" si="1"/>
        <v>2013</v>
      </c>
      <c r="B44" s="50"/>
      <c r="C44" s="103">
        <f>'[3]TICO 2'!P56</f>
        <v>60101696</v>
      </c>
      <c r="D44" s="104">
        <f>'6.4'!D44</f>
        <v>1.2452851041347781</v>
      </c>
      <c r="E44" s="31">
        <f t="shared" si="0"/>
        <v>74843746.762036771</v>
      </c>
      <c r="F44" s="103">
        <f>'[3]TICO 2'!V56</f>
        <v>6825640</v>
      </c>
      <c r="G44" s="53">
        <f t="shared" si="2"/>
        <v>9.0999999999999998E-2</v>
      </c>
      <c r="H44"/>
      <c r="I44"/>
      <c r="J44" s="2"/>
    </row>
    <row r="45" spans="1:10" s="60" customFormat="1" x14ac:dyDescent="0.2">
      <c r="A45" s="50" t="str">
        <f t="shared" si="1"/>
        <v>2014</v>
      </c>
      <c r="B45" s="50"/>
      <c r="C45" s="103">
        <f>'[3]TICO 2'!P57</f>
        <v>65642137</v>
      </c>
      <c r="D45" s="104">
        <f>'6.4'!D45</f>
        <v>1.1862347753925764</v>
      </c>
      <c r="E45" s="31">
        <f t="shared" si="0"/>
        <v>77866985.640483722</v>
      </c>
      <c r="F45" s="103">
        <f>'[3]TICO 2'!V57</f>
        <v>1913725</v>
      </c>
      <c r="G45" s="53">
        <f t="shared" si="2"/>
        <v>2.5000000000000001E-2</v>
      </c>
      <c r="H45"/>
      <c r="I45"/>
      <c r="J45" s="2"/>
    </row>
    <row r="46" spans="1:10" s="60" customFormat="1" x14ac:dyDescent="0.2">
      <c r="A46" s="50" t="str">
        <f t="shared" si="1"/>
        <v>2015</v>
      </c>
      <c r="B46" s="50"/>
      <c r="C46" s="103">
        <f>'[3]TICO 2'!P58</f>
        <v>72124134</v>
      </c>
      <c r="D46" s="104">
        <f>'6.4'!D46</f>
        <v>1.1299661810216541</v>
      </c>
      <c r="E46" s="125">
        <f>C46*D46</f>
        <v>81497832.255474046</v>
      </c>
      <c r="F46" s="103">
        <f>'[3]TICO 2'!V58</f>
        <v>9916873</v>
      </c>
      <c r="G46" s="53">
        <f t="shared" si="2"/>
        <v>0.122</v>
      </c>
      <c r="H46"/>
      <c r="I46"/>
      <c r="J46" s="2"/>
    </row>
    <row r="47" spans="1:10" x14ac:dyDescent="0.2">
      <c r="A47" s="51">
        <v>2016</v>
      </c>
      <c r="B47" s="50"/>
      <c r="C47" s="103">
        <f>'[3]TICO 2'!P59</f>
        <v>76436084</v>
      </c>
      <c r="D47" s="104">
        <f>'6.4'!D47</f>
        <v>1.0765597532120244</v>
      </c>
      <c r="E47" s="125">
        <f>C47*D47</f>
        <v>82288011.727533564</v>
      </c>
      <c r="F47" s="103">
        <f>'[3]TICO 2'!V59</f>
        <v>10418298</v>
      </c>
      <c r="G47" s="53">
        <f t="shared" si="2"/>
        <v>0.127</v>
      </c>
      <c r="H47" s="50"/>
      <c r="I47" s="50"/>
      <c r="J47" s="2"/>
    </row>
    <row r="48" spans="1:10" s="50" customFormat="1" x14ac:dyDescent="0.2">
      <c r="A48" s="51">
        <v>2017</v>
      </c>
      <c r="C48" s="103">
        <f>'[3]TICO 2'!P60</f>
        <v>77008517</v>
      </c>
      <c r="D48" s="104">
        <f>'6.4'!D48</f>
        <v>1.0500000000000014</v>
      </c>
      <c r="E48" s="125">
        <f>C48*D48</f>
        <v>80858942.850000113</v>
      </c>
      <c r="F48" s="103">
        <f>'[3]TICO 2'!V60</f>
        <v>274719455</v>
      </c>
      <c r="G48" s="53">
        <f>ROUND(F48/E48,3)</f>
        <v>3.3980000000000001</v>
      </c>
      <c r="J48" s="2"/>
    </row>
    <row r="49" spans="1:12" s="50" customFormat="1" x14ac:dyDescent="0.2">
      <c r="A49" s="51">
        <v>2018</v>
      </c>
      <c r="C49" s="103">
        <f>'[3]TICO 2'!P61</f>
        <v>77031486</v>
      </c>
      <c r="D49" s="104">
        <f>'6.4'!D49</f>
        <v>1.0255439472483592</v>
      </c>
      <c r="E49" s="125">
        <f>C49*D49</f>
        <v>78999174.214846715</v>
      </c>
      <c r="F49" s="103">
        <f>'[3]TICO 2'!V61</f>
        <v>1701043</v>
      </c>
      <c r="G49" s="53">
        <f>ROUND(F49/E49,3)</f>
        <v>2.1999999999999999E-2</v>
      </c>
      <c r="J49" s="2"/>
    </row>
    <row r="50" spans="1:12" s="50" customFormat="1" x14ac:dyDescent="0.2">
      <c r="A50" s="26">
        <v>2019</v>
      </c>
      <c r="B50" s="9"/>
      <c r="C50" s="83">
        <f>'[3]TICO 2'!P62</f>
        <v>76490369</v>
      </c>
      <c r="D50" s="67">
        <f>'6.4'!D50</f>
        <v>0.999999999999997</v>
      </c>
      <c r="E50" s="32">
        <f>C50*D50</f>
        <v>76490368.999999776</v>
      </c>
      <c r="F50" s="83">
        <f>'[3]TICO 2'!V62</f>
        <v>1230125</v>
      </c>
      <c r="G50" s="87">
        <f>ROUND(F50/E50,3)</f>
        <v>1.6E-2</v>
      </c>
      <c r="J50" s="2"/>
    </row>
    <row r="51" spans="1:12" s="60" customFormat="1" x14ac:dyDescent="0.2">
      <c r="A51" s="50"/>
      <c r="B51" s="50"/>
      <c r="C51" s="103"/>
      <c r="D51" s="216"/>
      <c r="E51" s="125"/>
      <c r="F51" s="103"/>
      <c r="G51" s="53"/>
      <c r="H51"/>
      <c r="I51"/>
      <c r="J51" s="2"/>
    </row>
    <row r="52" spans="1:12" x14ac:dyDescent="0.2">
      <c r="A52" s="60" t="s">
        <v>9</v>
      </c>
      <c r="B52" s="60"/>
      <c r="C52" s="31">
        <f>SUM(C14:C50)</f>
        <v>960516726.85479999</v>
      </c>
      <c r="D52" s="31"/>
      <c r="E52" s="31">
        <f>SUM(E14:E50)</f>
        <v>1349830916.055357</v>
      </c>
      <c r="F52" s="31">
        <f>SUM(F14:F50)</f>
        <v>380321772.90999997</v>
      </c>
      <c r="G52" s="23">
        <f>ROUND(F52/E52,3)</f>
        <v>0.28199999999999997</v>
      </c>
      <c r="J52" s="2"/>
    </row>
    <row r="53" spans="1:12" ht="12" thickBot="1" x14ac:dyDescent="0.25">
      <c r="A53" s="6"/>
      <c r="B53" s="6"/>
      <c r="C53" s="6"/>
      <c r="D53" s="6"/>
      <c r="E53" s="6"/>
      <c r="F53" s="6"/>
      <c r="G53" s="6"/>
      <c r="J53" s="2"/>
      <c r="K53" t="s">
        <v>217</v>
      </c>
      <c r="L53" t="s">
        <v>218</v>
      </c>
    </row>
    <row r="54" spans="1:12" s="60" customFormat="1" ht="12" thickTop="1" x14ac:dyDescent="0.2">
      <c r="A54"/>
      <c r="B54"/>
      <c r="C54"/>
      <c r="D54"/>
      <c r="E54"/>
      <c r="F54"/>
      <c r="G54"/>
      <c r="H54"/>
      <c r="I54"/>
      <c r="J54" s="2"/>
      <c r="K54" s="86">
        <f>'6.4'!K$54</f>
        <v>43738</v>
      </c>
      <c r="L54" s="86">
        <f>'6.4'!L$54</f>
        <v>43830</v>
      </c>
    </row>
    <row r="55" spans="1:12" s="60" customFormat="1" x14ac:dyDescent="0.2">
      <c r="A55" t="s">
        <v>17</v>
      </c>
      <c r="B55"/>
      <c r="C55"/>
      <c r="D55"/>
      <c r="E55"/>
      <c r="F55" s="45"/>
      <c r="G55"/>
      <c r="H55"/>
      <c r="I55"/>
      <c r="J55" s="2"/>
    </row>
    <row r="56" spans="1:12" x14ac:dyDescent="0.2">
      <c r="J56" s="2"/>
    </row>
    <row r="57" spans="1:12" x14ac:dyDescent="0.2">
      <c r="A57" s="22" t="str">
        <f>C12&amp;" Provided by TDI.  Accident years ending "&amp;TEXT($K$54,"m/d/xx")&amp;" as of "&amp;TEXT($L$54,"m/d/yyyy")</f>
        <v>(2) Provided by TDI.  Accident years ending 9/30/xx as of 12/31/2019</v>
      </c>
      <c r="J57" s="2"/>
    </row>
    <row r="58" spans="1:12" x14ac:dyDescent="0.2">
      <c r="A58" s="22" t="str">
        <f>D12&amp;" 1987 and prior judgementally selected; 1988 - 2019 based on TWIA on-level factors"</f>
        <v>(3) 1987 and prior judgementally selected; 1988 - 2019 based on TWIA on-level factors</v>
      </c>
      <c r="J58" s="2"/>
    </row>
    <row r="59" spans="1:12" x14ac:dyDescent="0.2">
      <c r="A59" s="22" t="str">
        <f>E12&amp;" = "&amp;C12&amp;" * "&amp;D12</f>
        <v>(4) = (2) * (3)</v>
      </c>
      <c r="J59" s="2"/>
    </row>
    <row r="60" spans="1:12" x14ac:dyDescent="0.2">
      <c r="A60" s="22" t="str">
        <f>F12&amp;" Provided by TDI. Accidn't yrs ending "&amp;TEXT($K$54,"m/d/xx")&amp;" as of "&amp;TEXT($L$54,"m/d/yyyy")</f>
        <v>(5) Provided by TDI. Accidn't yrs ending 9/30/xx as of 12/31/2019</v>
      </c>
      <c r="J60" s="2"/>
    </row>
    <row r="61" spans="1:12" x14ac:dyDescent="0.2">
      <c r="A61" s="22" t="str">
        <f>G12&amp;" = "&amp;F12&amp;" / "&amp;E12</f>
        <v>(6) = (5) / (4)</v>
      </c>
      <c r="B61" s="25"/>
      <c r="J61" s="2"/>
    </row>
    <row r="62" spans="1:12" ht="12" thickBot="1" x14ac:dyDescent="0.25">
      <c r="B62" s="25"/>
      <c r="C62" s="61"/>
      <c r="D62" s="61"/>
      <c r="E62" s="61"/>
      <c r="F62" s="61"/>
      <c r="G62" s="23"/>
      <c r="J62" s="2"/>
    </row>
    <row r="63" spans="1:12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>
    <tabColor rgb="FF92D050"/>
  </sheetPr>
  <dimension ref="A1:L62"/>
  <sheetViews>
    <sheetView showGridLines="0" workbookViewId="0">
      <selection activeCell="A58" sqref="A58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1" x14ac:dyDescent="0.2">
      <c r="A1" s="8" t="str">
        <f>'1'!$A$1</f>
        <v>Texas Windstorm Insurance Association</v>
      </c>
      <c r="B1" s="12"/>
      <c r="I1" s="7" t="s">
        <v>106</v>
      </c>
      <c r="J1" s="1"/>
    </row>
    <row r="2" spans="1:11" x14ac:dyDescent="0.2">
      <c r="A2" s="8" t="str">
        <f>'1'!$A$2</f>
        <v>Residential Property - Wind &amp; Hail</v>
      </c>
      <c r="B2" s="12"/>
      <c r="I2" s="7" t="s">
        <v>138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107</v>
      </c>
      <c r="B4" s="12"/>
      <c r="J4" s="2"/>
    </row>
    <row r="5" spans="1:11" x14ac:dyDescent="0.2">
      <c r="A5" t="s">
        <v>47</v>
      </c>
      <c r="B5" s="12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J7" s="2"/>
    </row>
    <row r="8" spans="1:11" ht="12" thickTop="1" x14ac:dyDescent="0.2">
      <c r="J8" s="2"/>
    </row>
    <row r="9" spans="1:11" x14ac:dyDescent="0.2">
      <c r="C9" s="22"/>
      <c r="D9" t="s">
        <v>37</v>
      </c>
      <c r="E9" t="s">
        <v>44</v>
      </c>
      <c r="J9" s="2"/>
      <c r="K9" s="27"/>
    </row>
    <row r="10" spans="1:11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1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1" x14ac:dyDescent="0.2">
      <c r="J13" s="2"/>
    </row>
    <row r="14" spans="1:11" x14ac:dyDescent="0.2">
      <c r="A14" s="191">
        <v>1983</v>
      </c>
      <c r="C14" s="38">
        <v>5888781</v>
      </c>
      <c r="D14" s="35">
        <f>'6.4'!D14</f>
        <v>2.1452794581413541</v>
      </c>
      <c r="E14" s="31">
        <f t="shared" ref="E14:E44" si="0">C14*D14</f>
        <v>12633080.912793102</v>
      </c>
      <c r="F14" s="38">
        <v>21953626</v>
      </c>
      <c r="G14" s="23">
        <f>F14/E14</f>
        <v>1.7377887588583629</v>
      </c>
      <c r="J14" s="2"/>
    </row>
    <row r="15" spans="1:11" x14ac:dyDescent="0.2">
      <c r="A15" t="str">
        <f>TEXT(A14+1,"#")</f>
        <v>1984</v>
      </c>
      <c r="C15" s="38">
        <v>3924651</v>
      </c>
      <c r="D15" s="35">
        <f>'6.4'!D15</f>
        <v>2.1452794581413541</v>
      </c>
      <c r="E15" s="31">
        <f t="shared" si="0"/>
        <v>8419473.1706739236</v>
      </c>
      <c r="F15" s="38">
        <v>2135063</v>
      </c>
      <c r="G15" s="23">
        <f>F15/E15</f>
        <v>0.25358629414447104</v>
      </c>
      <c r="J15" s="2"/>
    </row>
    <row r="16" spans="1:11" x14ac:dyDescent="0.2">
      <c r="A16" t="str">
        <f t="shared" ref="A16:A46" si="1">TEXT(A15+1,"#")</f>
        <v>1985</v>
      </c>
      <c r="C16" s="38">
        <v>5808825</v>
      </c>
      <c r="D16" s="35">
        <f>'6.4'!D16</f>
        <v>2.1452794581413541</v>
      </c>
      <c r="E16" s="31">
        <f t="shared" si="0"/>
        <v>12461552.948437952</v>
      </c>
      <c r="F16" s="38">
        <v>1055065</v>
      </c>
      <c r="G16" s="23">
        <f>F16/E16</f>
        <v>8.4665611450317022E-2</v>
      </c>
      <c r="J16" s="2"/>
    </row>
    <row r="17" spans="1:10" x14ac:dyDescent="0.2">
      <c r="A17" t="str">
        <f t="shared" si="1"/>
        <v>1986</v>
      </c>
      <c r="C17" s="38">
        <v>6993722</v>
      </c>
      <c r="D17" s="35">
        <f>'6.4'!D17</f>
        <v>2.1452794581413541</v>
      </c>
      <c r="E17" s="31">
        <f t="shared" si="0"/>
        <v>15003488.142551268</v>
      </c>
      <c r="F17" s="38">
        <v>3338312</v>
      </c>
      <c r="G17" s="23">
        <f t="shared" ref="G17:G42" si="2">ROUND(F17/E17,3)</f>
        <v>0.223</v>
      </c>
      <c r="J17" s="2"/>
    </row>
    <row r="18" spans="1:10" x14ac:dyDescent="0.2">
      <c r="A18" t="str">
        <f t="shared" si="1"/>
        <v>1987</v>
      </c>
      <c r="C18" s="38">
        <v>7677374</v>
      </c>
      <c r="D18" s="35">
        <f>'6.4'!D18</f>
        <v>2.1452794581413541</v>
      </c>
      <c r="E18" s="31">
        <f t="shared" si="0"/>
        <v>16470112.734668521</v>
      </c>
      <c r="F18" s="38">
        <v>634637</v>
      </c>
      <c r="G18" s="23">
        <f t="shared" si="2"/>
        <v>3.9E-2</v>
      </c>
      <c r="J18" s="2"/>
    </row>
    <row r="19" spans="1:10" x14ac:dyDescent="0.2">
      <c r="A19" t="str">
        <f t="shared" si="1"/>
        <v>1988</v>
      </c>
      <c r="C19" s="219">
        <v>8284768</v>
      </c>
      <c r="D19" s="35">
        <f>'6.4'!D19</f>
        <v>2.2048093094977945</v>
      </c>
      <c r="E19" s="31">
        <f t="shared" si="0"/>
        <v>18266333.613429423</v>
      </c>
      <c r="F19" s="219">
        <v>3434130</v>
      </c>
      <c r="G19" s="23">
        <f t="shared" si="2"/>
        <v>0.188</v>
      </c>
      <c r="J19" s="2"/>
    </row>
    <row r="20" spans="1:10" x14ac:dyDescent="0.2">
      <c r="A20" t="str">
        <f t="shared" si="1"/>
        <v>1989</v>
      </c>
      <c r="C20" s="219">
        <v>7733295</v>
      </c>
      <c r="D20" s="35">
        <f>'6.4'!D20</f>
        <v>2.267737270762531</v>
      </c>
      <c r="E20" s="31">
        <f t="shared" si="0"/>
        <v>17537081.297301527</v>
      </c>
      <c r="F20" s="219">
        <v>1670422</v>
      </c>
      <c r="G20" s="23">
        <f t="shared" si="2"/>
        <v>9.5000000000000001E-2</v>
      </c>
      <c r="J20" s="2"/>
    </row>
    <row r="21" spans="1:10" x14ac:dyDescent="0.2">
      <c r="A21" t="str">
        <f t="shared" si="1"/>
        <v>1990</v>
      </c>
      <c r="C21" s="219">
        <v>7568146</v>
      </c>
      <c r="D21" s="35">
        <f>'6.4'!D21</f>
        <v>2.2331238510709315</v>
      </c>
      <c r="E21" s="31">
        <f t="shared" si="0"/>
        <v>16900607.340987064</v>
      </c>
      <c r="F21" s="219">
        <v>2095151</v>
      </c>
      <c r="G21" s="23">
        <f t="shared" si="2"/>
        <v>0.124</v>
      </c>
      <c r="J21" s="2"/>
    </row>
    <row r="22" spans="1:10" x14ac:dyDescent="0.2">
      <c r="A22" t="str">
        <f t="shared" si="1"/>
        <v>1991</v>
      </c>
      <c r="C22" s="103">
        <f>'[3]TICO 2'!Q34</f>
        <v>8287605.1150000002</v>
      </c>
      <c r="D22" s="35">
        <f>'6.4'!D22</f>
        <v>1.9551566080504634</v>
      </c>
      <c r="E22" s="31">
        <f t="shared" si="0"/>
        <v>16203565.90550507</v>
      </c>
      <c r="F22" s="103">
        <f>'[3]TICO 2'!W34</f>
        <v>22444043.98</v>
      </c>
      <c r="G22" s="23">
        <f t="shared" si="2"/>
        <v>1.385</v>
      </c>
      <c r="J22" s="2"/>
    </row>
    <row r="23" spans="1:10" x14ac:dyDescent="0.2">
      <c r="A23" t="str">
        <f t="shared" si="1"/>
        <v>1992</v>
      </c>
      <c r="B23" s="22"/>
      <c r="C23" s="103">
        <f>'[3]TICO 2'!Q35</f>
        <v>8059406.7249999996</v>
      </c>
      <c r="D23" s="35">
        <f>'6.4'!D23</f>
        <v>2.410467051021119</v>
      </c>
      <c r="E23" s="31">
        <f t="shared" si="0"/>
        <v>19426934.361390524</v>
      </c>
      <c r="F23" s="103">
        <f>'[3]TICO 2'!W35</f>
        <v>1625107.79</v>
      </c>
      <c r="G23" s="23">
        <f t="shared" si="2"/>
        <v>8.4000000000000005E-2</v>
      </c>
      <c r="J23" s="2"/>
    </row>
    <row r="24" spans="1:10" x14ac:dyDescent="0.2">
      <c r="A24" t="str">
        <f t="shared" si="1"/>
        <v>1993</v>
      </c>
      <c r="B24" s="22"/>
      <c r="C24" s="103">
        <f>'[3]TICO 2'!Q36</f>
        <v>8448603.4210000001</v>
      </c>
      <c r="D24" s="35">
        <f>'6.4'!D24</f>
        <v>3.3263533974393513</v>
      </c>
      <c r="E24" s="31">
        <f t="shared" si="0"/>
        <v>28103040.693061076</v>
      </c>
      <c r="F24" s="103">
        <f>'[3]TICO 2'!W36</f>
        <v>1776572.41</v>
      </c>
      <c r="G24" s="23">
        <f t="shared" si="2"/>
        <v>6.3E-2</v>
      </c>
      <c r="J24" s="2"/>
    </row>
    <row r="25" spans="1:10" x14ac:dyDescent="0.2">
      <c r="A25" t="str">
        <f t="shared" si="1"/>
        <v>1994</v>
      </c>
      <c r="B25" s="22"/>
      <c r="C25" s="103">
        <f>'[3]TICO 2'!Q37</f>
        <v>9743293.1420000009</v>
      </c>
      <c r="D25" s="35">
        <f>'6.4'!D25</f>
        <v>2.9425433900425033</v>
      </c>
      <c r="E25" s="31">
        <f t="shared" si="0"/>
        <v>28670062.832238555</v>
      </c>
      <c r="F25" s="103">
        <f>'[3]TICO 2'!W37</f>
        <v>1637914.62</v>
      </c>
      <c r="G25" s="23">
        <f t="shared" si="2"/>
        <v>5.7000000000000002E-2</v>
      </c>
      <c r="J25" s="2"/>
    </row>
    <row r="26" spans="1:10" x14ac:dyDescent="0.2">
      <c r="A26" t="str">
        <f t="shared" si="1"/>
        <v>1995</v>
      </c>
      <c r="C26" s="103">
        <f>'[3]TICO 2'!Q38</f>
        <v>10745994.710000001</v>
      </c>
      <c r="D26" s="35">
        <f>'6.4'!D26</f>
        <v>2.6155941244822252</v>
      </c>
      <c r="E26" s="31">
        <f t="shared" si="0"/>
        <v>28107160.625193074</v>
      </c>
      <c r="F26" s="103">
        <f>'[3]TICO 2'!W38</f>
        <v>2416675</v>
      </c>
      <c r="G26" s="23">
        <f t="shared" si="2"/>
        <v>8.5999999999999993E-2</v>
      </c>
      <c r="J26" s="2"/>
    </row>
    <row r="27" spans="1:10" x14ac:dyDescent="0.2">
      <c r="A27" t="str">
        <f t="shared" si="1"/>
        <v>1996</v>
      </c>
      <c r="C27" s="103">
        <f>'[3]TICO 2'!Q39</f>
        <v>13294968.25</v>
      </c>
      <c r="D27" s="35">
        <f>'6.4'!D27</f>
        <v>2.3540347120340024</v>
      </c>
      <c r="E27" s="31">
        <f t="shared" si="0"/>
        <v>31296816.755889956</v>
      </c>
      <c r="F27" s="103">
        <f>'[3]TICO 2'!W39</f>
        <v>1520229</v>
      </c>
      <c r="G27" s="23">
        <f t="shared" si="2"/>
        <v>4.9000000000000002E-2</v>
      </c>
      <c r="J27" s="2"/>
    </row>
    <row r="28" spans="1:10" x14ac:dyDescent="0.2">
      <c r="A28" t="str">
        <f t="shared" si="1"/>
        <v>1997</v>
      </c>
      <c r="C28" s="103">
        <f>'[3]TICO 2'!Q40</f>
        <v>15708220.144000001</v>
      </c>
      <c r="D28" s="35">
        <f>'6.4'!D28</f>
        <v>2.3540347120340024</v>
      </c>
      <c r="E28" s="31">
        <f t="shared" si="0"/>
        <v>36977695.483247757</v>
      </c>
      <c r="F28" s="103">
        <f>'[3]TICO 2'!W40</f>
        <v>2569544</v>
      </c>
      <c r="G28" s="23">
        <f t="shared" si="2"/>
        <v>6.9000000000000006E-2</v>
      </c>
      <c r="J28" s="2"/>
    </row>
    <row r="29" spans="1:10" x14ac:dyDescent="0.2">
      <c r="A29" t="str">
        <f t="shared" si="1"/>
        <v>1998</v>
      </c>
      <c r="C29" s="103">
        <f>'[3]TICO 2'!Q41</f>
        <v>16168136.035</v>
      </c>
      <c r="D29" s="35">
        <f>'6.4'!D29</f>
        <v>2.351683029004997</v>
      </c>
      <c r="E29" s="31">
        <f t="shared" si="0"/>
        <v>38022331.124153644</v>
      </c>
      <c r="F29" s="103">
        <f>'[3]TICO 2'!W41</f>
        <v>10312506</v>
      </c>
      <c r="G29" s="23">
        <f t="shared" si="2"/>
        <v>0.27100000000000002</v>
      </c>
      <c r="J29" s="2"/>
    </row>
    <row r="30" spans="1:10" x14ac:dyDescent="0.2">
      <c r="A30" t="str">
        <f t="shared" si="1"/>
        <v>1999</v>
      </c>
      <c r="C30" s="103">
        <f>'[3]TICO 2'!Q42</f>
        <v>14452666.932</v>
      </c>
      <c r="D30" s="35">
        <f>'6.4'!D30</f>
        <v>2.4652004616517251</v>
      </c>
      <c r="E30" s="31">
        <f t="shared" si="0"/>
        <v>35628721.192865022</v>
      </c>
      <c r="F30" s="103">
        <f>'[3]TICO 2'!W42</f>
        <v>3655754</v>
      </c>
      <c r="G30" s="23">
        <f t="shared" si="2"/>
        <v>0.10299999999999999</v>
      </c>
      <c r="J30" s="2"/>
    </row>
    <row r="31" spans="1:10" x14ac:dyDescent="0.2">
      <c r="A31" t="str">
        <f t="shared" si="1"/>
        <v>2000</v>
      </c>
      <c r="C31" s="103">
        <f>'[3]TICO 2'!Q43</f>
        <v>14453384.889</v>
      </c>
      <c r="D31" s="35">
        <f>'6.4'!D31</f>
        <v>2.4849891105075934</v>
      </c>
      <c r="E31" s="31">
        <f t="shared" si="0"/>
        <v>35916504.059140004</v>
      </c>
      <c r="F31" s="103">
        <f>'[3]TICO 2'!W43</f>
        <v>3332580</v>
      </c>
      <c r="G31" s="23">
        <f t="shared" si="2"/>
        <v>9.2999999999999999E-2</v>
      </c>
      <c r="J31" s="2"/>
    </row>
    <row r="32" spans="1:10" x14ac:dyDescent="0.2">
      <c r="A32" t="str">
        <f t="shared" si="1"/>
        <v>2001</v>
      </c>
      <c r="C32" s="103">
        <f>'[3]TICO 2'!Q44</f>
        <v>15173521.373</v>
      </c>
      <c r="D32" s="35">
        <f>'6.4'!D32</f>
        <v>2.1835641410677664</v>
      </c>
      <c r="E32" s="31">
        <f t="shared" si="0"/>
        <v>33132357.163808141</v>
      </c>
      <c r="F32" s="103">
        <f>'[3]TICO 2'!W44</f>
        <v>2426814</v>
      </c>
      <c r="G32" s="23">
        <f t="shared" si="2"/>
        <v>7.2999999999999995E-2</v>
      </c>
      <c r="J32" s="2"/>
    </row>
    <row r="33" spans="1:10" x14ac:dyDescent="0.2">
      <c r="A33" t="str">
        <f t="shared" si="1"/>
        <v>2002</v>
      </c>
      <c r="C33" s="103">
        <f>'[3]TICO 2'!Q45</f>
        <v>17843905</v>
      </c>
      <c r="D33" s="35">
        <f>'6.4'!D33</f>
        <v>2.0131171511531938</v>
      </c>
      <c r="E33" s="31">
        <f t="shared" si="0"/>
        <v>35921871.199048229</v>
      </c>
      <c r="F33" s="103">
        <f>'[3]TICO 2'!W45</f>
        <v>5925066</v>
      </c>
      <c r="G33" s="23">
        <f t="shared" si="2"/>
        <v>0.16500000000000001</v>
      </c>
      <c r="J33" s="2"/>
    </row>
    <row r="34" spans="1:10" x14ac:dyDescent="0.2">
      <c r="A34" t="str">
        <f t="shared" si="1"/>
        <v>2003</v>
      </c>
      <c r="C34" s="103">
        <f>'[3]TICO 2'!Q46</f>
        <v>23423208</v>
      </c>
      <c r="D34" s="35">
        <f>'6.4'!D34</f>
        <v>2.0131171511531929</v>
      </c>
      <c r="E34" s="31">
        <f t="shared" si="0"/>
        <v>47153661.759828679</v>
      </c>
      <c r="F34" s="103">
        <f>'[3]TICO 2'!W46</f>
        <v>17213668</v>
      </c>
      <c r="G34" s="23">
        <f t="shared" si="2"/>
        <v>0.36499999999999999</v>
      </c>
      <c r="J34" s="2"/>
    </row>
    <row r="35" spans="1:10" x14ac:dyDescent="0.2">
      <c r="A35" t="str">
        <f t="shared" si="1"/>
        <v>2004</v>
      </c>
      <c r="B35" s="60"/>
      <c r="C35" s="103">
        <f>'[3]TICO 2'!Q47</f>
        <v>27306202</v>
      </c>
      <c r="D35" s="35">
        <f>'6.4'!D35</f>
        <v>1.9195987469434546</v>
      </c>
      <c r="E35" s="31">
        <f t="shared" si="0"/>
        <v>52416951.142984852</v>
      </c>
      <c r="F35" s="103">
        <f>'[3]TICO 2'!W47</f>
        <v>990613</v>
      </c>
      <c r="G35" s="23">
        <f t="shared" si="2"/>
        <v>1.9E-2</v>
      </c>
      <c r="J35" s="2"/>
    </row>
    <row r="36" spans="1:10" x14ac:dyDescent="0.2">
      <c r="A36" t="str">
        <f t="shared" si="1"/>
        <v>2005</v>
      </c>
      <c r="C36" s="103">
        <f>'[3]TICO 2'!Q48</f>
        <v>31012304</v>
      </c>
      <c r="D36" s="35">
        <f>'6.4'!D36</f>
        <v>1.8367857218551029</v>
      </c>
      <c r="E36" s="31">
        <f t="shared" si="0"/>
        <v>56962957.189029895</v>
      </c>
      <c r="F36" s="103">
        <f>'[3]TICO 2'!W48</f>
        <v>115989785</v>
      </c>
      <c r="G36" s="23">
        <f t="shared" si="2"/>
        <v>2.036</v>
      </c>
      <c r="J36" s="2"/>
    </row>
    <row r="37" spans="1:10" x14ac:dyDescent="0.2">
      <c r="A37" t="str">
        <f t="shared" si="1"/>
        <v>2006</v>
      </c>
      <c r="C37" s="103">
        <f>'[3]TICO 2'!Q49</f>
        <v>36545725</v>
      </c>
      <c r="D37" s="35">
        <f>'6.4'!D37</f>
        <v>1.8323775762609837</v>
      </c>
      <c r="E37" s="31">
        <f>C37*D37</f>
        <v>66965566.998200439</v>
      </c>
      <c r="F37" s="103">
        <f>'[3]TICO 2'!W49</f>
        <v>1842548</v>
      </c>
      <c r="G37" s="23">
        <f t="shared" si="2"/>
        <v>2.8000000000000001E-2</v>
      </c>
      <c r="J37" s="2"/>
    </row>
    <row r="38" spans="1:10" x14ac:dyDescent="0.2">
      <c r="A38" s="50" t="str">
        <f t="shared" si="1"/>
        <v>2007</v>
      </c>
      <c r="B38" s="50"/>
      <c r="C38" s="103">
        <f>'[3]TICO 2'!Q50</f>
        <v>69945120</v>
      </c>
      <c r="D38" s="35">
        <f>'6.4'!D38</f>
        <v>1.7490128310516411</v>
      </c>
      <c r="E38" s="31">
        <f t="shared" si="0"/>
        <v>122334912.34944676</v>
      </c>
      <c r="F38" s="103">
        <f>'[3]TICO 2'!W50</f>
        <v>10105722</v>
      </c>
      <c r="G38" s="53">
        <f t="shared" si="2"/>
        <v>8.3000000000000004E-2</v>
      </c>
      <c r="J38" s="2"/>
    </row>
    <row r="39" spans="1:10" x14ac:dyDescent="0.2">
      <c r="A39" s="50" t="str">
        <f t="shared" si="1"/>
        <v>2008</v>
      </c>
      <c r="B39" s="60"/>
      <c r="C39" s="103">
        <f>'[3]TICO 2'!Q51</f>
        <v>110187567</v>
      </c>
      <c r="D39" s="35">
        <f>'6.4'!D39</f>
        <v>1.6495345789525933</v>
      </c>
      <c r="E39" s="31">
        <f t="shared" si="0"/>
        <v>181758201.93715566</v>
      </c>
      <c r="F39" s="103">
        <f>'[3]TICO 2'!W51</f>
        <v>694640836</v>
      </c>
      <c r="G39" s="53">
        <f t="shared" si="2"/>
        <v>3.8220000000000001</v>
      </c>
      <c r="J39" s="2"/>
    </row>
    <row r="40" spans="1:10" s="60" customFormat="1" x14ac:dyDescent="0.2">
      <c r="A40" s="50" t="str">
        <f t="shared" si="1"/>
        <v>2009</v>
      </c>
      <c r="B40" s="45"/>
      <c r="C40" s="103">
        <f>'[3]TICO 2'!Q52</f>
        <v>128275387</v>
      </c>
      <c r="D40" s="35">
        <f>'6.4'!D40</f>
        <v>1.4987056675771686</v>
      </c>
      <c r="E40" s="31">
        <f t="shared" si="0"/>
        <v>192247049.50755465</v>
      </c>
      <c r="F40" s="103">
        <f>'[3]TICO 2'!W52</f>
        <v>2522159</v>
      </c>
      <c r="G40" s="53">
        <f t="shared" si="2"/>
        <v>1.2999999999999999E-2</v>
      </c>
      <c r="H40"/>
      <c r="I40"/>
      <c r="J40" s="2"/>
    </row>
    <row r="41" spans="1:10" x14ac:dyDescent="0.2">
      <c r="A41" s="50" t="str">
        <f t="shared" si="1"/>
        <v>2010</v>
      </c>
      <c r="B41" s="45"/>
      <c r="C41" s="103">
        <f>'[3]TICO 2'!Q53</f>
        <v>143236007</v>
      </c>
      <c r="D41" s="35">
        <f>'6.4'!D41</f>
        <v>1.4074808531397425</v>
      </c>
      <c r="E41" s="31">
        <f t="shared" si="0"/>
        <v>201601937.33269012</v>
      </c>
      <c r="F41" s="103">
        <f>'[3]TICO 2'!W53</f>
        <v>9656553</v>
      </c>
      <c r="G41" s="53">
        <f t="shared" si="2"/>
        <v>4.8000000000000001E-2</v>
      </c>
      <c r="J41" s="2"/>
    </row>
    <row r="42" spans="1:10" x14ac:dyDescent="0.2">
      <c r="A42" s="50" t="str">
        <f t="shared" si="1"/>
        <v>2011</v>
      </c>
      <c r="B42" s="45"/>
      <c r="C42" s="103">
        <f>'[3]TICO 2'!Q54</f>
        <v>151387931</v>
      </c>
      <c r="D42" s="35">
        <f>'6.4'!D42</f>
        <v>1.3727166755238378</v>
      </c>
      <c r="E42" s="31">
        <f t="shared" si="0"/>
        <v>207812737.35675216</v>
      </c>
      <c r="F42" s="103">
        <f>'[3]TICO 2'!W54</f>
        <v>59069922</v>
      </c>
      <c r="G42" s="53">
        <f t="shared" si="2"/>
        <v>0.28399999999999997</v>
      </c>
      <c r="J42" s="2"/>
    </row>
    <row r="43" spans="1:10" s="60" customFormat="1" x14ac:dyDescent="0.2">
      <c r="A43" s="50" t="str">
        <f t="shared" si="1"/>
        <v>2012</v>
      </c>
      <c r="B43" s="45"/>
      <c r="C43" s="103">
        <f>'[3]TICO 2'!Q55</f>
        <v>170159709</v>
      </c>
      <c r="D43" s="35">
        <f>'6.4'!D43</f>
        <v>1.3073731976777445</v>
      </c>
      <c r="E43" s="31">
        <f t="shared" si="0"/>
        <v>222462242.87124449</v>
      </c>
      <c r="F43" s="103">
        <f>'[3]TICO 2'!W55</f>
        <v>21183482</v>
      </c>
      <c r="G43" s="53">
        <f t="shared" ref="G43:G50" si="3">ROUND(F43/E43,3)</f>
        <v>9.5000000000000001E-2</v>
      </c>
      <c r="H43"/>
      <c r="I43"/>
      <c r="J43" s="2"/>
    </row>
    <row r="44" spans="1:10" s="60" customFormat="1" x14ac:dyDescent="0.2">
      <c r="A44" s="50" t="str">
        <f t="shared" si="1"/>
        <v>2013</v>
      </c>
      <c r="B44" s="45"/>
      <c r="C44" s="103">
        <f>'[3]TICO 2'!Q56</f>
        <v>183495510</v>
      </c>
      <c r="D44" s="35">
        <f>'6.4'!D44</f>
        <v>1.2452851041347781</v>
      </c>
      <c r="E44" s="31">
        <f t="shared" si="0"/>
        <v>228504225.27861422</v>
      </c>
      <c r="F44" s="103">
        <f>'[3]TICO 2'!W56</f>
        <v>6488552</v>
      </c>
      <c r="G44" s="53">
        <f t="shared" si="3"/>
        <v>2.8000000000000001E-2</v>
      </c>
      <c r="H44"/>
      <c r="I44"/>
      <c r="J44" s="2"/>
    </row>
    <row r="45" spans="1:10" s="60" customFormat="1" x14ac:dyDescent="0.2">
      <c r="A45" s="50" t="str">
        <f t="shared" si="1"/>
        <v>2014</v>
      </c>
      <c r="B45" s="45"/>
      <c r="C45" s="103">
        <f>'[3]TICO 2'!Q57</f>
        <v>197640983</v>
      </c>
      <c r="D45" s="35">
        <f>'6.4'!D45</f>
        <v>1.1862347753925764</v>
      </c>
      <c r="E45" s="125">
        <f t="shared" ref="E45:E50" si="4">C45*D45</f>
        <v>234448607.077373</v>
      </c>
      <c r="F45" s="103">
        <f>'[3]TICO 2'!W57</f>
        <v>7237896</v>
      </c>
      <c r="G45" s="53">
        <f t="shared" si="3"/>
        <v>3.1E-2</v>
      </c>
      <c r="H45"/>
      <c r="I45"/>
      <c r="J45" s="2"/>
    </row>
    <row r="46" spans="1:10" s="60" customFormat="1" x14ac:dyDescent="0.2">
      <c r="A46" s="50" t="str">
        <f t="shared" si="1"/>
        <v>2015</v>
      </c>
      <c r="B46" s="45"/>
      <c r="C46" s="103">
        <f>'[3]TICO 2'!Q58</f>
        <v>212320998</v>
      </c>
      <c r="D46" s="35">
        <f>'6.4'!D46</f>
        <v>1.1299661810216541</v>
      </c>
      <c r="E46" s="125">
        <f t="shared" si="4"/>
        <v>239915547.26076627</v>
      </c>
      <c r="F46" s="103">
        <f>'[3]TICO 2'!W58</f>
        <v>89978392</v>
      </c>
      <c r="G46" s="53">
        <f t="shared" si="3"/>
        <v>0.375</v>
      </c>
      <c r="H46"/>
      <c r="I46"/>
      <c r="J46" s="2"/>
    </row>
    <row r="47" spans="1:10" x14ac:dyDescent="0.2">
      <c r="A47" s="51">
        <v>2016</v>
      </c>
      <c r="B47" s="45"/>
      <c r="C47" s="103">
        <f>'[3]TICO 2'!Q59</f>
        <v>218795204</v>
      </c>
      <c r="D47" s="35">
        <f>'6.4'!D47</f>
        <v>1.0765597532120244</v>
      </c>
      <c r="E47" s="125">
        <f t="shared" si="4"/>
        <v>235546110.82221451</v>
      </c>
      <c r="F47" s="103">
        <f>'[3]TICO 2'!W59</f>
        <v>15012404</v>
      </c>
      <c r="G47" s="53">
        <f t="shared" si="3"/>
        <v>6.4000000000000001E-2</v>
      </c>
      <c r="J47" s="2"/>
    </row>
    <row r="48" spans="1:10" s="50" customFormat="1" x14ac:dyDescent="0.2">
      <c r="A48" s="51">
        <v>2017</v>
      </c>
      <c r="B48" s="45"/>
      <c r="C48" s="103">
        <f>'[3]TICO 2'!Q60</f>
        <v>212533686</v>
      </c>
      <c r="D48" s="104">
        <f>'6.4'!D48</f>
        <v>1.0500000000000014</v>
      </c>
      <c r="E48" s="125">
        <f t="shared" si="4"/>
        <v>223160370.30000028</v>
      </c>
      <c r="F48" s="103">
        <f>'[3]TICO 2'!W60</f>
        <v>705069821</v>
      </c>
      <c r="G48" s="53">
        <f t="shared" si="3"/>
        <v>3.1589999999999998</v>
      </c>
      <c r="J48" s="2"/>
    </row>
    <row r="49" spans="1:12" s="50" customFormat="1" x14ac:dyDescent="0.2">
      <c r="A49" s="51">
        <v>2018</v>
      </c>
      <c r="B49" s="45"/>
      <c r="C49" s="103">
        <f>'[3]TICO 2'!Q61</f>
        <v>201509514</v>
      </c>
      <c r="D49" s="104">
        <f>'6.4'!D49</f>
        <v>1.0255439472483592</v>
      </c>
      <c r="E49" s="125">
        <f t="shared" si="4"/>
        <v>206656862.39565849</v>
      </c>
      <c r="F49" s="103">
        <f>'[3]TICO 2'!W61</f>
        <v>9481014</v>
      </c>
      <c r="G49" s="53">
        <f t="shared" si="3"/>
        <v>4.5999999999999999E-2</v>
      </c>
      <c r="J49" s="2"/>
    </row>
    <row r="50" spans="1:12" s="50" customFormat="1" x14ac:dyDescent="0.2">
      <c r="A50" s="26">
        <v>2019</v>
      </c>
      <c r="B50" s="187"/>
      <c r="C50" s="83">
        <f>'[3]TICO 2'!Q62</f>
        <v>194394581</v>
      </c>
      <c r="D50" s="67">
        <f>'6.4'!D50</f>
        <v>0.999999999999997</v>
      </c>
      <c r="E50" s="32">
        <f t="shared" si="4"/>
        <v>194394580.9999994</v>
      </c>
      <c r="F50" s="83">
        <f>'[3]TICO 2'!W62</f>
        <v>14185711</v>
      </c>
      <c r="G50" s="87">
        <f t="shared" si="3"/>
        <v>7.2999999999999995E-2</v>
      </c>
      <c r="J50" s="2"/>
    </row>
    <row r="51" spans="1:12" s="60" customFormat="1" x14ac:dyDescent="0.2">
      <c r="H51"/>
      <c r="I51"/>
      <c r="J51" s="2"/>
    </row>
    <row r="52" spans="1:12" x14ac:dyDescent="0.2">
      <c r="A52" s="60" t="s">
        <v>9</v>
      </c>
      <c r="B52" s="60"/>
      <c r="C52" s="31">
        <f>SUM(C14:C50)</f>
        <v>2518428903.7360001</v>
      </c>
      <c r="D52" s="31"/>
      <c r="E52" s="31">
        <f>SUM(E14:E50)</f>
        <v>3399441314.1358976</v>
      </c>
      <c r="F52" s="31">
        <f>SUM(F14:F50)</f>
        <v>1876628290.8</v>
      </c>
      <c r="G52" s="23">
        <f>ROUND(F52/E52,3)</f>
        <v>0.55200000000000005</v>
      </c>
      <c r="J52" s="2"/>
    </row>
    <row r="53" spans="1:12" ht="12" thickBot="1" x14ac:dyDescent="0.25">
      <c r="A53" s="6"/>
      <c r="B53" s="6"/>
      <c r="C53" s="6"/>
      <c r="D53" s="6"/>
      <c r="E53" s="6"/>
      <c r="F53" s="6"/>
      <c r="G53" s="6"/>
      <c r="J53" s="2"/>
      <c r="K53" t="s">
        <v>217</v>
      </c>
      <c r="L53" t="s">
        <v>218</v>
      </c>
    </row>
    <row r="54" spans="1:12" ht="12" thickTop="1" x14ac:dyDescent="0.2">
      <c r="J54" s="2"/>
      <c r="K54" s="86">
        <f>'6.4'!K$54</f>
        <v>43738</v>
      </c>
      <c r="L54" s="86">
        <f>'6.4'!L$54</f>
        <v>43830</v>
      </c>
    </row>
    <row r="55" spans="1:12" s="60" customFormat="1" x14ac:dyDescent="0.2">
      <c r="A55" t="s">
        <v>17</v>
      </c>
      <c r="B55"/>
      <c r="C55"/>
      <c r="D55"/>
      <c r="E55"/>
      <c r="F55" s="45"/>
      <c r="G55"/>
      <c r="H55"/>
      <c r="I55"/>
      <c r="J55" s="2"/>
    </row>
    <row r="56" spans="1:12" x14ac:dyDescent="0.2">
      <c r="A56" s="22" t="str">
        <f>C12&amp;" Provided by TDI.  Accident years ending "&amp;TEXT($K$54,"m/d/xx")&amp;" as of "&amp;TEXT($L$54,"m/d/yyyy")</f>
        <v>(2) Provided by TDI.  Accident years ending 9/30/xx as of 12/31/2019</v>
      </c>
      <c r="J56" s="2"/>
    </row>
    <row r="57" spans="1:12" x14ac:dyDescent="0.2">
      <c r="A57" s="22" t="str">
        <f>D12&amp;" 1987 and prior judgementally selected; 1988 - 2019 based on TWIA on-level factors"</f>
        <v>(3) 1987 and prior judgementally selected; 1988 - 2019 based on TWIA on-level factors</v>
      </c>
      <c r="J57" s="2"/>
    </row>
    <row r="58" spans="1:12" x14ac:dyDescent="0.2">
      <c r="A58" s="22" t="str">
        <f>E12&amp;" = "&amp;C12&amp;" * "&amp;D12</f>
        <v>(4) = (2) * (3)</v>
      </c>
      <c r="J58" s="2"/>
    </row>
    <row r="59" spans="1:12" x14ac:dyDescent="0.2">
      <c r="A59" s="22" t="str">
        <f>'6.5'!A60</f>
        <v>(5) Provided by TDI. Accidn't yrs ending 9/30/xx as of 12/31/2019</v>
      </c>
      <c r="J59" s="2"/>
    </row>
    <row r="60" spans="1:12" x14ac:dyDescent="0.2">
      <c r="A60" s="22" t="str">
        <f>G12&amp;" = "&amp;F12&amp;" / "&amp;E12</f>
        <v>(6) = (5) / (4)</v>
      </c>
      <c r="J60" s="2"/>
    </row>
    <row r="61" spans="1:12" ht="12" thickBot="1" x14ac:dyDescent="0.25">
      <c r="B61" s="22"/>
      <c r="D61" s="61"/>
      <c r="E61" s="61"/>
      <c r="F61" s="61"/>
      <c r="G61" s="23"/>
      <c r="J61" s="2"/>
    </row>
    <row r="62" spans="1:12" ht="12" thickBot="1" x14ac:dyDescent="0.25">
      <c r="A62" s="4"/>
      <c r="B62" s="5"/>
      <c r="C62" s="5"/>
      <c r="D62" s="5"/>
      <c r="E62" s="5"/>
      <c r="F62" s="5"/>
      <c r="G62" s="5"/>
      <c r="H62" s="5"/>
      <c r="I62" s="5"/>
      <c r="J6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>
    <tabColor rgb="FF92D050"/>
  </sheetPr>
  <dimension ref="A1:M62"/>
  <sheetViews>
    <sheetView showGridLines="0" workbookViewId="0">
      <selection activeCell="B66" sqref="B66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5" customWidth="1"/>
    <col min="12" max="12" width="13.1640625" customWidth="1"/>
  </cols>
  <sheetData>
    <row r="1" spans="1:13" x14ac:dyDescent="0.2">
      <c r="A1" s="8" t="str">
        <f>'1'!$A$1</f>
        <v>Texas Windstorm Insurance Association</v>
      </c>
      <c r="B1" s="12"/>
      <c r="I1" s="7" t="s">
        <v>106</v>
      </c>
      <c r="J1" s="1"/>
    </row>
    <row r="2" spans="1:13" x14ac:dyDescent="0.2">
      <c r="A2" s="8" t="str">
        <f>'1'!$A$2</f>
        <v>Residential Property - Wind &amp; Hail</v>
      </c>
      <c r="B2" s="12"/>
      <c r="I2" s="7" t="s">
        <v>139</v>
      </c>
      <c r="J2" s="2"/>
    </row>
    <row r="3" spans="1:13" x14ac:dyDescent="0.2">
      <c r="A3" s="8" t="str">
        <f>'1'!$A$3</f>
        <v>Rate Level Review</v>
      </c>
      <c r="B3" s="12"/>
      <c r="J3" s="2"/>
    </row>
    <row r="4" spans="1:13" x14ac:dyDescent="0.2">
      <c r="A4" t="s">
        <v>107</v>
      </c>
      <c r="B4" s="12"/>
      <c r="J4" s="2"/>
    </row>
    <row r="5" spans="1:13" x14ac:dyDescent="0.2">
      <c r="A5" t="s">
        <v>50</v>
      </c>
      <c r="B5" s="12"/>
      <c r="J5" s="2"/>
    </row>
    <row r="6" spans="1:13" x14ac:dyDescent="0.2">
      <c r="J6" s="2"/>
    </row>
    <row r="7" spans="1:13" ht="12" thickBot="1" x14ac:dyDescent="0.25">
      <c r="A7" s="6"/>
      <c r="B7" s="6"/>
      <c r="C7" s="6"/>
      <c r="D7" s="6"/>
      <c r="E7" s="6"/>
      <c r="F7" s="6"/>
      <c r="G7" s="6"/>
      <c r="J7" s="2"/>
    </row>
    <row r="8" spans="1:13" ht="12" thickTop="1" x14ac:dyDescent="0.2">
      <c r="J8" s="2"/>
    </row>
    <row r="9" spans="1:13" x14ac:dyDescent="0.2">
      <c r="C9" s="22"/>
      <c r="D9" t="s">
        <v>37</v>
      </c>
      <c r="E9" t="s">
        <v>44</v>
      </c>
      <c r="G9" s="11"/>
      <c r="J9" s="2"/>
      <c r="K9" s="27"/>
    </row>
    <row r="10" spans="1:13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3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3" x14ac:dyDescent="0.2">
      <c r="J13" s="2"/>
    </row>
    <row r="14" spans="1:13" x14ac:dyDescent="0.2">
      <c r="A14" s="191">
        <v>1983</v>
      </c>
      <c r="C14" s="38">
        <v>16247909</v>
      </c>
      <c r="D14" s="35">
        <f>'6.4'!D14</f>
        <v>2.1452794581413541</v>
      </c>
      <c r="E14" s="31">
        <f t="shared" ref="E14:E45" si="0">C14*D14</f>
        <v>34856305.415450029</v>
      </c>
      <c r="F14" s="38">
        <v>61752490</v>
      </c>
      <c r="G14" s="23">
        <f>F14/E14</f>
        <v>1.771630391229825</v>
      </c>
      <c r="J14" s="2"/>
      <c r="K14" s="7"/>
      <c r="M14" s="19"/>
    </row>
    <row r="15" spans="1:13" x14ac:dyDescent="0.2">
      <c r="A15" t="str">
        <f>TEXT(A14+1,"#")</f>
        <v>1984</v>
      </c>
      <c r="C15" s="38">
        <v>11008847</v>
      </c>
      <c r="D15" s="35">
        <f>'6.4'!D15</f>
        <v>2.1452794581413541</v>
      </c>
      <c r="E15" s="31">
        <f t="shared" si="0"/>
        <v>23617053.326921072</v>
      </c>
      <c r="F15" s="38">
        <v>9535536</v>
      </c>
      <c r="G15" s="23">
        <f>F15/E15</f>
        <v>0.40375638179765827</v>
      </c>
      <c r="J15" s="2"/>
      <c r="K15" s="7"/>
      <c r="M15" s="19"/>
    </row>
    <row r="16" spans="1:13" x14ac:dyDescent="0.2">
      <c r="A16" t="str">
        <f t="shared" ref="A16:A46" si="1">TEXT(A15+1,"#")</f>
        <v>1985</v>
      </c>
      <c r="C16" s="38">
        <v>15662193</v>
      </c>
      <c r="D16" s="35">
        <f>'6.4'!D16</f>
        <v>2.1452794581413541</v>
      </c>
      <c r="E16" s="31">
        <f t="shared" si="0"/>
        <v>33599780.912345313</v>
      </c>
      <c r="F16" s="38">
        <v>4532749</v>
      </c>
      <c r="G16" s="23">
        <f>F16/E16</f>
        <v>0.13490412368535912</v>
      </c>
      <c r="J16" s="2"/>
      <c r="K16" s="7"/>
      <c r="M16" s="19"/>
    </row>
    <row r="17" spans="1:13" x14ac:dyDescent="0.2">
      <c r="A17" t="str">
        <f t="shared" si="1"/>
        <v>1986</v>
      </c>
      <c r="C17" s="38">
        <v>19854927</v>
      </c>
      <c r="D17" s="35">
        <f>'6.4'!D17</f>
        <v>2.1452794581413541</v>
      </c>
      <c r="E17" s="31">
        <f t="shared" si="0"/>
        <v>42594367.035996139</v>
      </c>
      <c r="F17" s="38">
        <v>6306903</v>
      </c>
      <c r="G17" s="23">
        <f t="shared" ref="G17:G45" si="2">ROUND(F17/E17,3)</f>
        <v>0.14799999999999999</v>
      </c>
      <c r="J17" s="2"/>
      <c r="K17" s="7"/>
      <c r="M17" s="19"/>
    </row>
    <row r="18" spans="1:13" x14ac:dyDescent="0.2">
      <c r="A18" t="str">
        <f t="shared" si="1"/>
        <v>1987</v>
      </c>
      <c r="C18" s="38">
        <v>22542928</v>
      </c>
      <c r="D18" s="35">
        <f>'6.4'!D18</f>
        <v>2.1452794581413541</v>
      </c>
      <c r="E18" s="31">
        <f t="shared" si="0"/>
        <v>48360880.364759557</v>
      </c>
      <c r="F18" s="38">
        <v>3739010</v>
      </c>
      <c r="G18" s="23">
        <f t="shared" si="2"/>
        <v>7.6999999999999999E-2</v>
      </c>
      <c r="J18" s="2"/>
      <c r="K18" s="7"/>
      <c r="M18" s="19"/>
    </row>
    <row r="19" spans="1:13" x14ac:dyDescent="0.2">
      <c r="A19" t="str">
        <f t="shared" si="1"/>
        <v>1988</v>
      </c>
      <c r="C19" s="219">
        <v>24744994</v>
      </c>
      <c r="D19" s="35">
        <f>'6.4'!D19</f>
        <v>2.2048093094977945</v>
      </c>
      <c r="E19" s="31">
        <f t="shared" si="0"/>
        <v>54557993.134667069</v>
      </c>
      <c r="F19" s="218">
        <v>4139098</v>
      </c>
      <c r="G19" s="23">
        <f t="shared" si="2"/>
        <v>7.5999999999999998E-2</v>
      </c>
      <c r="J19" s="2"/>
      <c r="K19" s="7"/>
      <c r="M19" s="19"/>
    </row>
    <row r="20" spans="1:13" x14ac:dyDescent="0.2">
      <c r="A20" t="str">
        <f t="shared" si="1"/>
        <v>1989</v>
      </c>
      <c r="C20" s="219">
        <v>22159987</v>
      </c>
      <c r="D20" s="35">
        <f>'6.4'!D20</f>
        <v>2.267737270762531</v>
      </c>
      <c r="E20" s="31">
        <f t="shared" si="0"/>
        <v>50253028.439513169</v>
      </c>
      <c r="F20" s="219">
        <v>8884751</v>
      </c>
      <c r="G20" s="23">
        <f t="shared" si="2"/>
        <v>0.17699999999999999</v>
      </c>
      <c r="J20" s="2"/>
      <c r="K20" s="7"/>
      <c r="M20" s="19"/>
    </row>
    <row r="21" spans="1:13" x14ac:dyDescent="0.2">
      <c r="A21" t="str">
        <f t="shared" si="1"/>
        <v>1990</v>
      </c>
      <c r="C21" s="219">
        <v>21480544</v>
      </c>
      <c r="D21" s="35">
        <f>'6.4'!D21</f>
        <v>2.2331238510709315</v>
      </c>
      <c r="E21" s="31">
        <f t="shared" si="0"/>
        <v>47968715.140378594</v>
      </c>
      <c r="F21" s="219">
        <v>11997188</v>
      </c>
      <c r="G21" s="23">
        <f t="shared" si="2"/>
        <v>0.25</v>
      </c>
      <c r="J21" s="2"/>
      <c r="K21" s="7"/>
      <c r="M21" s="19"/>
    </row>
    <row r="22" spans="1:13" x14ac:dyDescent="0.2">
      <c r="A22" t="str">
        <f t="shared" si="1"/>
        <v>1991</v>
      </c>
      <c r="B22" s="22"/>
      <c r="C22" s="103">
        <f>'[3]TICO 2'!R34</f>
        <v>25239134</v>
      </c>
      <c r="D22" s="35">
        <f>'6.4'!D22</f>
        <v>1.9551566080504634</v>
      </c>
      <c r="E22" s="31">
        <f>C22*D22</f>
        <v>49346459.621571124</v>
      </c>
      <c r="F22" s="103">
        <f>'[3]TICO 2'!X34</f>
        <v>10178608</v>
      </c>
      <c r="G22" s="23">
        <f t="shared" si="2"/>
        <v>0.20599999999999999</v>
      </c>
      <c r="J22" s="2"/>
      <c r="K22" s="7"/>
      <c r="M22" s="19"/>
    </row>
    <row r="23" spans="1:13" x14ac:dyDescent="0.2">
      <c r="A23" t="str">
        <f t="shared" si="1"/>
        <v>1992</v>
      </c>
      <c r="B23" s="22"/>
      <c r="C23" s="103">
        <f>'[3]TICO 2'!R35</f>
        <v>26718987</v>
      </c>
      <c r="D23" s="35">
        <f>'6.4'!D23</f>
        <v>2.410467051021119</v>
      </c>
      <c r="E23" s="31">
        <f t="shared" si="0"/>
        <v>64405237.800161615</v>
      </c>
      <c r="F23" s="103">
        <f>'[3]TICO 2'!X35</f>
        <v>12221034</v>
      </c>
      <c r="G23" s="23">
        <f t="shared" si="2"/>
        <v>0.19</v>
      </c>
      <c r="J23" s="2"/>
      <c r="K23" s="7"/>
      <c r="M23" s="19"/>
    </row>
    <row r="24" spans="1:13" x14ac:dyDescent="0.2">
      <c r="A24" t="str">
        <f t="shared" si="1"/>
        <v>1993</v>
      </c>
      <c r="B24" s="22"/>
      <c r="C24" s="103">
        <f>'[3]TICO 2'!R36</f>
        <v>31914206</v>
      </c>
      <c r="D24" s="35">
        <f>'6.4'!D24</f>
        <v>3.3263533974393513</v>
      </c>
      <c r="E24" s="31">
        <f t="shared" si="0"/>
        <v>106157927.55467933</v>
      </c>
      <c r="F24" s="103">
        <f>'[3]TICO 2'!X36</f>
        <v>17910197</v>
      </c>
      <c r="G24" s="23">
        <f t="shared" si="2"/>
        <v>0.16900000000000001</v>
      </c>
      <c r="J24" s="2"/>
      <c r="K24" s="7"/>
      <c r="M24" s="19"/>
    </row>
    <row r="25" spans="1:13" x14ac:dyDescent="0.2">
      <c r="A25" t="str">
        <f t="shared" si="1"/>
        <v>1994</v>
      </c>
      <c r="C25" s="103">
        <f>'[3]TICO 2'!R37</f>
        <v>35133612</v>
      </c>
      <c r="D25" s="35">
        <f>'6.4'!D25</f>
        <v>2.9425433900425033</v>
      </c>
      <c r="E25" s="31">
        <f t="shared" si="0"/>
        <v>103382177.75891797</v>
      </c>
      <c r="F25" s="103">
        <f>'[3]TICO 2'!X37</f>
        <v>6968697</v>
      </c>
      <c r="G25" s="23">
        <f t="shared" si="2"/>
        <v>6.7000000000000004E-2</v>
      </c>
      <c r="J25" s="2"/>
    </row>
    <row r="26" spans="1:13" x14ac:dyDescent="0.2">
      <c r="A26" t="str">
        <f t="shared" si="1"/>
        <v>1995</v>
      </c>
      <c r="C26" s="103">
        <f>'[3]TICO 2'!R38</f>
        <v>34347927</v>
      </c>
      <c r="D26" s="35">
        <f>'6.4'!D26</f>
        <v>2.6155941244822252</v>
      </c>
      <c r="E26" s="31">
        <f t="shared" si="0"/>
        <v>89840236.049344376</v>
      </c>
      <c r="F26" s="103">
        <f>'[3]TICO 2'!X38</f>
        <v>20240594</v>
      </c>
      <c r="G26" s="23">
        <f t="shared" si="2"/>
        <v>0.22500000000000001</v>
      </c>
      <c r="J26" s="2"/>
    </row>
    <row r="27" spans="1:13" x14ac:dyDescent="0.2">
      <c r="A27" t="str">
        <f t="shared" si="1"/>
        <v>1996</v>
      </c>
      <c r="C27" s="103">
        <f>'[3]TICO 2'!R39</f>
        <v>38349763.638889998</v>
      </c>
      <c r="D27" s="35">
        <f>'6.4'!D27</f>
        <v>2.3540347120340024</v>
      </c>
      <c r="E27" s="31">
        <f t="shared" si="0"/>
        <v>90276674.80424647</v>
      </c>
      <c r="F27" s="103">
        <f>'[3]TICO 2'!X39</f>
        <v>9046495</v>
      </c>
      <c r="G27" s="23">
        <f t="shared" si="2"/>
        <v>0.1</v>
      </c>
      <c r="J27" s="2"/>
    </row>
    <row r="28" spans="1:13" x14ac:dyDescent="0.2">
      <c r="A28" t="str">
        <f t="shared" si="1"/>
        <v>1997</v>
      </c>
      <c r="C28" s="103">
        <f>'[3]TICO 2'!R40</f>
        <v>42447730.530299999</v>
      </c>
      <c r="D28" s="35">
        <f>'6.4'!D28</f>
        <v>2.3540347120340024</v>
      </c>
      <c r="E28" s="31">
        <f t="shared" si="0"/>
        <v>99923431.115391687</v>
      </c>
      <c r="F28" s="103">
        <f>'[3]TICO 2'!X40</f>
        <v>8514675</v>
      </c>
      <c r="G28" s="23">
        <f t="shared" si="2"/>
        <v>8.5000000000000006E-2</v>
      </c>
      <c r="J28" s="2"/>
    </row>
    <row r="29" spans="1:13" x14ac:dyDescent="0.2">
      <c r="A29" t="str">
        <f t="shared" si="1"/>
        <v>1998</v>
      </c>
      <c r="C29" s="103">
        <f>'[3]TICO 2'!R41</f>
        <v>41427572.085600004</v>
      </c>
      <c r="D29" s="35">
        <f>'6.4'!D29</f>
        <v>2.351683029004997</v>
      </c>
      <c r="E29" s="31">
        <f t="shared" si="0"/>
        <v>97424518.206586674</v>
      </c>
      <c r="F29" s="103">
        <f>'[3]TICO 2'!X41</f>
        <v>10127907</v>
      </c>
      <c r="G29" s="23">
        <f t="shared" si="2"/>
        <v>0.104</v>
      </c>
      <c r="J29" s="2"/>
    </row>
    <row r="30" spans="1:13" x14ac:dyDescent="0.2">
      <c r="A30" t="str">
        <f t="shared" si="1"/>
        <v>1999</v>
      </c>
      <c r="C30" s="103">
        <f>'[3]TICO 2'!R42</f>
        <v>34004814.583099999</v>
      </c>
      <c r="D30" s="35">
        <f>'6.4'!D30</f>
        <v>2.4652004616517251</v>
      </c>
      <c r="E30" s="31">
        <f t="shared" si="0"/>
        <v>83828684.608639434</v>
      </c>
      <c r="F30" s="103">
        <f>'[3]TICO 2'!X42</f>
        <v>8680187</v>
      </c>
      <c r="G30" s="23">
        <f t="shared" si="2"/>
        <v>0.104</v>
      </c>
      <c r="J30" s="2"/>
    </row>
    <row r="31" spans="1:13" x14ac:dyDescent="0.2">
      <c r="A31" t="str">
        <f t="shared" si="1"/>
        <v>2000</v>
      </c>
      <c r="C31" s="103">
        <f>'[3]TICO 2'!R43</f>
        <v>36439477.252300002</v>
      </c>
      <c r="D31" s="35">
        <f>'6.4'!D31</f>
        <v>2.4849891105075934</v>
      </c>
      <c r="E31" s="31">
        <f t="shared" si="0"/>
        <v>90551704.16455467</v>
      </c>
      <c r="F31" s="103">
        <f>'[3]TICO 2'!X43</f>
        <v>9518422</v>
      </c>
      <c r="G31" s="23">
        <f t="shared" si="2"/>
        <v>0.105</v>
      </c>
      <c r="J31" s="2"/>
    </row>
    <row r="32" spans="1:13" x14ac:dyDescent="0.2">
      <c r="A32" t="str">
        <f t="shared" si="1"/>
        <v>2001</v>
      </c>
      <c r="C32" s="103">
        <f>'[3]TICO 2'!R44</f>
        <v>32881662.327399999</v>
      </c>
      <c r="D32" s="35">
        <f>'6.4'!D32</f>
        <v>2.1835641410677664</v>
      </c>
      <c r="E32" s="31">
        <f t="shared" si="0"/>
        <v>71799218.756809518</v>
      </c>
      <c r="F32" s="103">
        <f>'[3]TICO 2'!X44</f>
        <v>23547404</v>
      </c>
      <c r="G32" s="23">
        <f t="shared" si="2"/>
        <v>0.32800000000000001</v>
      </c>
      <c r="J32" s="2"/>
    </row>
    <row r="33" spans="1:10" x14ac:dyDescent="0.2">
      <c r="A33" t="str">
        <f t="shared" si="1"/>
        <v>2002</v>
      </c>
      <c r="C33" s="103">
        <f>'[3]TICO 2'!R45</f>
        <v>37396181</v>
      </c>
      <c r="D33" s="35">
        <f>'6.4'!D33</f>
        <v>2.0131171511531938</v>
      </c>
      <c r="E33" s="31">
        <f t="shared" si="0"/>
        <v>75282893.358729199</v>
      </c>
      <c r="F33" s="103">
        <f>'[3]TICO 2'!X45</f>
        <v>7950367</v>
      </c>
      <c r="G33" s="23">
        <f t="shared" si="2"/>
        <v>0.106</v>
      </c>
      <c r="J33" s="2"/>
    </row>
    <row r="34" spans="1:10" x14ac:dyDescent="0.2">
      <c r="A34" t="str">
        <f t="shared" si="1"/>
        <v>2003</v>
      </c>
      <c r="B34" s="60"/>
      <c r="C34" s="103">
        <f>'[3]TICO 2'!R46</f>
        <v>49027236</v>
      </c>
      <c r="D34" s="35">
        <f>'6.4'!D34</f>
        <v>2.0131171511531929</v>
      </c>
      <c r="E34" s="31">
        <f t="shared" si="0"/>
        <v>98697569.665235266</v>
      </c>
      <c r="F34" s="103">
        <f>'[3]TICO 2'!X46</f>
        <v>10177909</v>
      </c>
      <c r="G34" s="23">
        <f t="shared" si="2"/>
        <v>0.10299999999999999</v>
      </c>
      <c r="J34" s="2"/>
    </row>
    <row r="35" spans="1:10" x14ac:dyDescent="0.2">
      <c r="A35" t="str">
        <f t="shared" si="1"/>
        <v>2004</v>
      </c>
      <c r="C35" s="103">
        <f>'[3]TICO 2'!R47</f>
        <v>49927649</v>
      </c>
      <c r="D35" s="35">
        <f>'6.4'!D35</f>
        <v>1.9195987469434546</v>
      </c>
      <c r="E35" s="31">
        <f t="shared" si="0"/>
        <v>95841052.458232626</v>
      </c>
      <c r="F35" s="103">
        <f>'[3]TICO 2'!X47</f>
        <v>3738542</v>
      </c>
      <c r="G35" s="23">
        <f t="shared" si="2"/>
        <v>3.9E-2</v>
      </c>
      <c r="J35" s="2"/>
    </row>
    <row r="36" spans="1:10" x14ac:dyDescent="0.2">
      <c r="A36" t="str">
        <f t="shared" si="1"/>
        <v>2005</v>
      </c>
      <c r="B36" s="60"/>
      <c r="C36" s="103">
        <f>'[3]TICO 2'!R48</f>
        <v>50116517</v>
      </c>
      <c r="D36" s="35">
        <f>'6.4'!D36</f>
        <v>1.8367857218551029</v>
      </c>
      <c r="E36" s="31">
        <f>C36*D36</f>
        <v>92053302.854708537</v>
      </c>
      <c r="F36" s="103">
        <f>'[3]TICO 2'!X48</f>
        <v>34201898</v>
      </c>
      <c r="G36" s="23">
        <f t="shared" si="2"/>
        <v>0.372</v>
      </c>
      <c r="J36" s="2"/>
    </row>
    <row r="37" spans="1:10" x14ac:dyDescent="0.2">
      <c r="A37" t="str">
        <f t="shared" si="1"/>
        <v>2006</v>
      </c>
      <c r="B37" s="45"/>
      <c r="C37" s="103">
        <f>'[3]TICO 2'!R49</f>
        <v>54703319</v>
      </c>
      <c r="D37" s="35">
        <f>'6.4'!D37</f>
        <v>1.8323775762609837</v>
      </c>
      <c r="E37" s="31">
        <f>C37*D37</f>
        <v>100237135.08265142</v>
      </c>
      <c r="F37" s="103">
        <f>'[3]TICO 2'!X49</f>
        <v>4909932</v>
      </c>
      <c r="G37" s="53">
        <f t="shared" si="2"/>
        <v>4.9000000000000002E-2</v>
      </c>
      <c r="J37" s="2"/>
    </row>
    <row r="38" spans="1:10" x14ac:dyDescent="0.2">
      <c r="A38" t="str">
        <f t="shared" si="1"/>
        <v>2007</v>
      </c>
      <c r="C38" s="103">
        <f>'[3]TICO 2'!R50</f>
        <v>60982886</v>
      </c>
      <c r="D38" s="35">
        <f>'6.4'!D38</f>
        <v>1.7490128310516411</v>
      </c>
      <c r="E38" s="31">
        <f t="shared" si="0"/>
        <v>106659850.08855949</v>
      </c>
      <c r="F38" s="103">
        <f>'[3]TICO 2'!X50</f>
        <v>5242698</v>
      </c>
      <c r="G38" s="53">
        <f t="shared" si="2"/>
        <v>4.9000000000000002E-2</v>
      </c>
      <c r="J38" s="2"/>
    </row>
    <row r="39" spans="1:10" s="60" customFormat="1" x14ac:dyDescent="0.2">
      <c r="A39" t="str">
        <f t="shared" si="1"/>
        <v>2008</v>
      </c>
      <c r="B39" s="45"/>
      <c r="C39" s="103">
        <f>'[3]TICO 2'!R51</f>
        <v>65015817</v>
      </c>
      <c r="D39" s="35">
        <f>'6.4'!D39</f>
        <v>1.6495345789525933</v>
      </c>
      <c r="E39" s="31">
        <f t="shared" si="0"/>
        <v>107245838.32035385</v>
      </c>
      <c r="F39" s="103">
        <f>'[3]TICO 2'!X51</f>
        <v>448708416</v>
      </c>
      <c r="G39" s="53">
        <f t="shared" si="2"/>
        <v>4.1840000000000002</v>
      </c>
      <c r="H39"/>
      <c r="I39"/>
      <c r="J39" s="2"/>
    </row>
    <row r="40" spans="1:10" x14ac:dyDescent="0.2">
      <c r="A40" t="str">
        <f t="shared" si="1"/>
        <v>2009</v>
      </c>
      <c r="B40" s="45"/>
      <c r="C40" s="103">
        <f>'[3]TICO 2'!R52</f>
        <v>70667217</v>
      </c>
      <c r="D40" s="35">
        <f>'6.4'!D40</f>
        <v>1.4987056675771686</v>
      </c>
      <c r="E40" s="31">
        <f t="shared" si="0"/>
        <v>105909358.62980564</v>
      </c>
      <c r="F40" s="103">
        <f>'[3]TICO 2'!X52</f>
        <v>9952501</v>
      </c>
      <c r="G40" s="53">
        <f t="shared" si="2"/>
        <v>9.4E-2</v>
      </c>
      <c r="J40" s="2"/>
    </row>
    <row r="41" spans="1:10" x14ac:dyDescent="0.2">
      <c r="A41" t="str">
        <f t="shared" si="1"/>
        <v>2010</v>
      </c>
      <c r="B41" s="45"/>
      <c r="C41" s="103">
        <f>'[3]TICO 2'!R53</f>
        <v>70788779</v>
      </c>
      <c r="D41" s="35">
        <f>'6.4'!D41</f>
        <v>1.4074808531397425</v>
      </c>
      <c r="E41" s="31">
        <f t="shared" si="0"/>
        <v>99633851.059640691</v>
      </c>
      <c r="F41" s="103">
        <f>'[3]TICO 2'!X53</f>
        <v>10829031</v>
      </c>
      <c r="G41" s="53">
        <f t="shared" si="2"/>
        <v>0.109</v>
      </c>
      <c r="J41" s="2"/>
    </row>
    <row r="42" spans="1:10" s="60" customFormat="1" x14ac:dyDescent="0.2">
      <c r="A42" t="str">
        <f t="shared" si="1"/>
        <v>2011</v>
      </c>
      <c r="B42" s="51"/>
      <c r="C42" s="103">
        <f>'[3]TICO 2'!R54</f>
        <v>73325323</v>
      </c>
      <c r="D42" s="35">
        <f>'6.4'!D42</f>
        <v>1.3727166755238378</v>
      </c>
      <c r="E42" s="31">
        <f t="shared" si="0"/>
        <v>100654893.62027161</v>
      </c>
      <c r="F42" s="103">
        <f>'[3]TICO 2'!X54</f>
        <v>5992356</v>
      </c>
      <c r="G42" s="53">
        <f t="shared" si="2"/>
        <v>0.06</v>
      </c>
      <c r="H42"/>
      <c r="I42"/>
      <c r="J42" s="2"/>
    </row>
    <row r="43" spans="1:10" x14ac:dyDescent="0.2">
      <c r="A43" t="str">
        <f t="shared" si="1"/>
        <v>2012</v>
      </c>
      <c r="B43" s="45"/>
      <c r="C43" s="103">
        <f>'[3]TICO 2'!R55</f>
        <v>80858142</v>
      </c>
      <c r="D43" s="35">
        <f>'6.4'!D43</f>
        <v>1.3073731976777445</v>
      </c>
      <c r="E43" s="31">
        <f t="shared" si="0"/>
        <v>105711767.66482113</v>
      </c>
      <c r="F43" s="103">
        <f>'[3]TICO 2'!X55</f>
        <v>89891814</v>
      </c>
      <c r="G43" s="53">
        <f t="shared" si="2"/>
        <v>0.85</v>
      </c>
      <c r="J43" s="2"/>
    </row>
    <row r="44" spans="1:10" s="60" customFormat="1" x14ac:dyDescent="0.2">
      <c r="A44" t="str">
        <f t="shared" si="1"/>
        <v>2013</v>
      </c>
      <c r="B44" s="51"/>
      <c r="C44" s="103">
        <f>'[3]TICO 2'!R56</f>
        <v>90250703</v>
      </c>
      <c r="D44" s="35">
        <f>'6.4'!D44</f>
        <v>1.2452851041347781</v>
      </c>
      <c r="E44" s="31">
        <f t="shared" si="0"/>
        <v>112387856.08359194</v>
      </c>
      <c r="F44" s="103">
        <f>'[3]TICO 2'!X56</f>
        <v>22062101</v>
      </c>
      <c r="G44" s="53">
        <f t="shared" si="2"/>
        <v>0.19600000000000001</v>
      </c>
      <c r="H44"/>
      <c r="I44"/>
      <c r="J44" s="2"/>
    </row>
    <row r="45" spans="1:10" s="60" customFormat="1" x14ac:dyDescent="0.2">
      <c r="A45" t="str">
        <f t="shared" si="1"/>
        <v>2014</v>
      </c>
      <c r="B45" s="51"/>
      <c r="C45" s="103">
        <f>'[3]TICO 2'!R57</f>
        <v>99916064</v>
      </c>
      <c r="D45" s="35">
        <f>'6.4'!D45</f>
        <v>1.1862347753925764</v>
      </c>
      <c r="E45" s="31">
        <f t="shared" si="0"/>
        <v>118523909.73715028</v>
      </c>
      <c r="F45" s="103">
        <f>'[3]TICO 2'!X57</f>
        <v>20950951</v>
      </c>
      <c r="G45" s="53">
        <f t="shared" si="2"/>
        <v>0.17699999999999999</v>
      </c>
      <c r="H45"/>
      <c r="I45"/>
      <c r="J45" s="2"/>
    </row>
    <row r="46" spans="1:10" s="60" customFormat="1" x14ac:dyDescent="0.2">
      <c r="A46" s="50" t="str">
        <f t="shared" si="1"/>
        <v>2015</v>
      </c>
      <c r="B46" s="51"/>
      <c r="C46" s="103">
        <f>'[3]TICO 2'!R58</f>
        <v>110352614</v>
      </c>
      <c r="D46" s="35">
        <f>'6.4'!D46</f>
        <v>1.1299661810216541</v>
      </c>
      <c r="E46" s="125">
        <f>C46*D46</f>
        <v>124694721.80733672</v>
      </c>
      <c r="F46" s="103">
        <f>'[3]TICO 2'!X58</f>
        <v>43749835</v>
      </c>
      <c r="G46" s="53">
        <f>ROUND(F46/E46,3)</f>
        <v>0.35099999999999998</v>
      </c>
      <c r="H46"/>
      <c r="I46"/>
      <c r="J46" s="2"/>
    </row>
    <row r="47" spans="1:10" x14ac:dyDescent="0.2">
      <c r="A47" s="51">
        <v>2016</v>
      </c>
      <c r="B47" s="51"/>
      <c r="C47" s="103">
        <f>'[3]TICO 2'!R59</f>
        <v>119744188</v>
      </c>
      <c r="D47" s="35">
        <f>'6.4'!D47</f>
        <v>1.0765597532120244</v>
      </c>
      <c r="E47" s="125">
        <f>C47*D47</f>
        <v>128911773.48185425</v>
      </c>
      <c r="F47" s="103">
        <f>'[3]TICO 2'!X59</f>
        <v>46199850</v>
      </c>
      <c r="G47" s="53">
        <f>ROUND(F47/E47,3)</f>
        <v>0.35799999999999998</v>
      </c>
      <c r="J47" s="2"/>
    </row>
    <row r="48" spans="1:10" x14ac:dyDescent="0.2">
      <c r="A48" s="51">
        <v>2017</v>
      </c>
      <c r="B48" s="51"/>
      <c r="C48" s="103">
        <f>'[3]TICO 2'!R60</f>
        <v>117739636</v>
      </c>
      <c r="D48" s="104">
        <f>'6.4'!D48</f>
        <v>1.0500000000000014</v>
      </c>
      <c r="E48" s="125">
        <f>C48*D48</f>
        <v>123626617.80000016</v>
      </c>
      <c r="F48" s="103">
        <f>'[3]TICO 2'!X60</f>
        <v>74392945</v>
      </c>
      <c r="G48" s="53">
        <f>ROUND(F48/E48,3)</f>
        <v>0.60199999999999998</v>
      </c>
      <c r="H48" s="50"/>
      <c r="J48" s="2"/>
    </row>
    <row r="49" spans="1:12" x14ac:dyDescent="0.2">
      <c r="A49" s="51">
        <v>2018</v>
      </c>
      <c r="B49" s="51"/>
      <c r="C49" s="103">
        <f>'[3]TICO 2'!R61</f>
        <v>115484141</v>
      </c>
      <c r="D49" s="104">
        <f>'6.4'!D49</f>
        <v>1.0255439472483592</v>
      </c>
      <c r="E49" s="125">
        <f>C49*D49</f>
        <v>118434061.80572607</v>
      </c>
      <c r="F49" s="103">
        <f>'[3]TICO 2'!X61</f>
        <v>12269364</v>
      </c>
      <c r="G49" s="53">
        <f>ROUND(F49/E49,3)</f>
        <v>0.104</v>
      </c>
      <c r="J49" s="2"/>
    </row>
    <row r="50" spans="1:12" x14ac:dyDescent="0.2">
      <c r="A50" s="26">
        <v>2019</v>
      </c>
      <c r="B50" s="26"/>
      <c r="C50" s="83">
        <f>'[3]TICO 2'!R62</f>
        <v>116764667</v>
      </c>
      <c r="D50" s="67">
        <f>'6.4'!D50</f>
        <v>0.999999999999997</v>
      </c>
      <c r="E50" s="32">
        <f>C50*D50</f>
        <v>116764666.99999966</v>
      </c>
      <c r="F50" s="83">
        <f>'[3]TICO 2'!X62</f>
        <v>31309739</v>
      </c>
      <c r="G50" s="87">
        <f>ROUND(F50/E50,3)</f>
        <v>0.26800000000000002</v>
      </c>
      <c r="J50" s="2"/>
    </row>
    <row r="51" spans="1:12" s="60" customFormat="1" x14ac:dyDescent="0.2">
      <c r="H51"/>
      <c r="I51"/>
      <c r="J51" s="2"/>
    </row>
    <row r="52" spans="1:12" x14ac:dyDescent="0.2">
      <c r="A52" s="60" t="s">
        <v>9</v>
      </c>
      <c r="B52" s="60"/>
      <c r="C52" s="31">
        <f>SUM(C14:C50)</f>
        <v>1965668294.4175901</v>
      </c>
      <c r="D52" s="31"/>
      <c r="E52" s="31">
        <f>SUM(E14:E50)</f>
        <v>3214015514.7296019</v>
      </c>
      <c r="F52" s="31">
        <f>SUM(F14:F50)</f>
        <v>1130372194</v>
      </c>
      <c r="G52" s="23">
        <f>ROUND(F52/E52,3)</f>
        <v>0.35199999999999998</v>
      </c>
      <c r="J52" s="2"/>
    </row>
    <row r="53" spans="1:12" ht="12" thickBot="1" x14ac:dyDescent="0.25">
      <c r="A53" s="6"/>
      <c r="B53" s="6"/>
      <c r="C53" s="6"/>
      <c r="D53" s="6"/>
      <c r="E53" s="6"/>
      <c r="F53" s="6"/>
      <c r="G53" s="6"/>
      <c r="J53" s="2"/>
      <c r="K53" s="11" t="s">
        <v>217</v>
      </c>
      <c r="L53" s="11" t="s">
        <v>218</v>
      </c>
    </row>
    <row r="54" spans="1:12" ht="12" thickTop="1" x14ac:dyDescent="0.2">
      <c r="J54" s="2"/>
      <c r="K54" s="295">
        <f>'6.4'!K$54</f>
        <v>43738</v>
      </c>
      <c r="L54" s="295">
        <f>'6.4'!L$54</f>
        <v>43830</v>
      </c>
    </row>
    <row r="55" spans="1:12" s="60" customFormat="1" x14ac:dyDescent="0.2">
      <c r="A55" t="s">
        <v>17</v>
      </c>
      <c r="B55"/>
      <c r="C55"/>
      <c r="D55"/>
      <c r="E55"/>
      <c r="F55" s="45"/>
      <c r="G55"/>
      <c r="H55"/>
      <c r="I55"/>
      <c r="J55" s="2"/>
    </row>
    <row r="56" spans="1:12" x14ac:dyDescent="0.2">
      <c r="A56" s="22" t="str">
        <f>C12&amp;" Provided by TDI.  Accident years ending "&amp;TEXT($K$54,"m/d/xx")&amp;" as of "&amp;TEXT($L$54,"m/d/yyyy")</f>
        <v>(2) Provided by TDI.  Accident years ending 9/30/xx as of 12/31/2019</v>
      </c>
      <c r="J56" s="2"/>
    </row>
    <row r="57" spans="1:12" x14ac:dyDescent="0.2">
      <c r="A57" s="22" t="str">
        <f>D12&amp;" 1987 and prior judgementally selected; 1988 - 2019 based on TWIA on-level factors"</f>
        <v>(3) 1987 and prior judgementally selected; 1988 - 2019 based on TWIA on-level factors</v>
      </c>
      <c r="J57" s="2"/>
    </row>
    <row r="58" spans="1:12" x14ac:dyDescent="0.2">
      <c r="A58" s="22" t="str">
        <f>E12&amp;" = "&amp;C12&amp;" * "&amp;D12</f>
        <v>(4) = (2) * (3)</v>
      </c>
      <c r="J58" s="2"/>
    </row>
    <row r="59" spans="1:12" x14ac:dyDescent="0.2">
      <c r="A59" s="22" t="str">
        <f>'6.5'!A60</f>
        <v>(5) Provided by TDI. Accidn't yrs ending 9/30/xx as of 12/31/2019</v>
      </c>
      <c r="J59" s="2"/>
    </row>
    <row r="60" spans="1:12" x14ac:dyDescent="0.2">
      <c r="A60" s="22" t="str">
        <f>G12&amp;" = "&amp;F12&amp;" / "&amp;E12</f>
        <v>(6) = (5) / (4)</v>
      </c>
      <c r="J60" s="2"/>
    </row>
    <row r="61" spans="1:12" ht="12" thickBot="1" x14ac:dyDescent="0.25">
      <c r="D61" s="61"/>
      <c r="E61" s="61"/>
      <c r="F61" s="61"/>
      <c r="G61" s="23"/>
      <c r="J61" s="2"/>
    </row>
    <row r="62" spans="1:12" ht="12" thickBot="1" x14ac:dyDescent="0.25">
      <c r="A62" s="4"/>
      <c r="B62" s="5"/>
      <c r="C62" s="5"/>
      <c r="D62" s="5"/>
      <c r="E62" s="5"/>
      <c r="F62" s="5"/>
      <c r="G62" s="5"/>
      <c r="H62" s="5"/>
      <c r="I62" s="5"/>
      <c r="J6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6">
    <tabColor rgb="FF92D050"/>
  </sheetPr>
  <dimension ref="A1:Q69"/>
  <sheetViews>
    <sheetView showGridLines="0" workbookViewId="0">
      <selection activeCell="D28" sqref="D28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298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21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169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52" t="s">
        <v>143</v>
      </c>
      <c r="L9" s="2"/>
      <c r="M9" s="27"/>
    </row>
    <row r="10" spans="1:13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11/30/19</v>
      </c>
      <c r="D11" s="258" t="s">
        <v>146</v>
      </c>
      <c r="E11" s="9" t="s">
        <v>147</v>
      </c>
      <c r="L11" s="2"/>
      <c r="M11" s="85">
        <f>'7.2'!M11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150</v>
      </c>
      <c r="C14" s="207">
        <f>'7.2'!C14</f>
        <v>1560360</v>
      </c>
      <c r="D14" s="279">
        <f>'7.2'!F14</f>
        <v>2.6989999999999998</v>
      </c>
      <c r="E14" s="31">
        <f t="shared" ref="E14:E28" si="0">ROUND(C14*D14,0)</f>
        <v>4211412</v>
      </c>
      <c r="G14" s="19"/>
      <c r="H14" s="19"/>
      <c r="I14" s="19"/>
      <c r="L14" s="2"/>
    </row>
    <row r="15" spans="1:13" x14ac:dyDescent="0.2">
      <c r="A15" t="s">
        <v>151</v>
      </c>
      <c r="C15" s="207">
        <f>'7.2'!C15</f>
        <v>9623822</v>
      </c>
      <c r="D15" s="279">
        <f>'7.2'!F15</f>
        <v>1.8180000000000001</v>
      </c>
      <c r="E15" s="31">
        <f t="shared" si="0"/>
        <v>17496108</v>
      </c>
      <c r="G15" s="19"/>
      <c r="H15" s="19"/>
      <c r="I15" s="19"/>
      <c r="L15" s="2"/>
    </row>
    <row r="16" spans="1:13" x14ac:dyDescent="0.2">
      <c r="A16" t="s">
        <v>152</v>
      </c>
      <c r="C16" s="207">
        <f>'7.2'!C16</f>
        <v>884611</v>
      </c>
      <c r="D16" s="279">
        <f>'7.2'!F16</f>
        <v>3.2320000000000002</v>
      </c>
      <c r="E16" s="31">
        <f t="shared" si="0"/>
        <v>2859063</v>
      </c>
      <c r="G16" s="19"/>
      <c r="H16" s="19"/>
      <c r="I16" s="19"/>
      <c r="L16" s="2"/>
    </row>
    <row r="17" spans="1:17" x14ac:dyDescent="0.2">
      <c r="A17" t="s">
        <v>153</v>
      </c>
      <c r="C17" s="207">
        <f>'7.2'!C17</f>
        <v>2184121</v>
      </c>
      <c r="D17" s="279">
        <f>'7.2'!F17</f>
        <v>1.835</v>
      </c>
      <c r="E17" s="31">
        <f t="shared" si="0"/>
        <v>4007862</v>
      </c>
      <c r="G17" s="19"/>
      <c r="H17" s="19"/>
      <c r="I17" s="19"/>
      <c r="L17" s="2"/>
    </row>
    <row r="18" spans="1:17" x14ac:dyDescent="0.2">
      <c r="A18" t="s">
        <v>154</v>
      </c>
      <c r="C18" s="207">
        <f>'7.2'!C18</f>
        <v>1407119</v>
      </c>
      <c r="D18" s="279">
        <f>'7.2'!F18</f>
        <v>1.7609999999999999</v>
      </c>
      <c r="E18" s="31">
        <f t="shared" si="0"/>
        <v>2477937</v>
      </c>
      <c r="G18" s="19"/>
      <c r="H18" s="19"/>
      <c r="I18" s="19"/>
      <c r="L18" s="2"/>
    </row>
    <row r="19" spans="1:17" x14ac:dyDescent="0.2">
      <c r="A19" t="s">
        <v>155</v>
      </c>
      <c r="C19" s="207">
        <f>'7.2'!C19</f>
        <v>18526442</v>
      </c>
      <c r="D19" s="279">
        <f>'7.2'!F19</f>
        <v>4.3710000000000004</v>
      </c>
      <c r="E19" s="31">
        <f t="shared" si="0"/>
        <v>80979078</v>
      </c>
      <c r="G19" s="19"/>
      <c r="H19" s="19"/>
      <c r="I19" s="19"/>
      <c r="L19" s="2"/>
      <c r="O19" s="19"/>
      <c r="P19" s="19"/>
      <c r="Q19" s="19"/>
    </row>
    <row r="20" spans="1:17" x14ac:dyDescent="0.2">
      <c r="A20" t="s">
        <v>156</v>
      </c>
      <c r="C20" s="207">
        <f>'7.2'!C20</f>
        <v>1104156</v>
      </c>
      <c r="D20" s="279">
        <f>'7.2'!F20</f>
        <v>4.41</v>
      </c>
      <c r="E20" s="31">
        <f t="shared" si="0"/>
        <v>4869328</v>
      </c>
      <c r="G20" s="19"/>
      <c r="H20" s="19"/>
      <c r="I20" s="19"/>
      <c r="L20" s="2"/>
      <c r="O20" s="19"/>
      <c r="P20" s="19"/>
      <c r="Q20" s="19"/>
    </row>
    <row r="21" spans="1:17" x14ac:dyDescent="0.2">
      <c r="A21" t="s">
        <v>157</v>
      </c>
      <c r="C21" s="207">
        <f>'7.2'!C21</f>
        <v>6147764</v>
      </c>
      <c r="D21" s="279">
        <f>'7.2'!F21</f>
        <v>2.1349999999999998</v>
      </c>
      <c r="E21" s="31">
        <f t="shared" si="0"/>
        <v>13125476</v>
      </c>
      <c r="G21" s="19"/>
      <c r="H21" s="19"/>
      <c r="I21" s="19"/>
      <c r="L21" s="2"/>
      <c r="O21" s="19"/>
      <c r="P21" s="19"/>
      <c r="Q21" s="19"/>
    </row>
    <row r="22" spans="1:17" x14ac:dyDescent="0.2">
      <c r="A22" t="s">
        <v>158</v>
      </c>
      <c r="C22" s="207">
        <f>'7.2'!C22</f>
        <v>5642</v>
      </c>
      <c r="D22" s="279">
        <f>'7.2'!F22</f>
        <v>1.083</v>
      </c>
      <c r="E22" s="31">
        <f t="shared" si="0"/>
        <v>6110</v>
      </c>
      <c r="G22" s="19"/>
      <c r="H22" s="19"/>
      <c r="I22" s="19"/>
      <c r="L22" s="2"/>
      <c r="O22" s="19"/>
      <c r="P22" s="19"/>
      <c r="Q22" s="19"/>
    </row>
    <row r="23" spans="1:17" x14ac:dyDescent="0.2">
      <c r="A23" t="s">
        <v>159</v>
      </c>
      <c r="B23" s="22"/>
      <c r="C23" s="207">
        <f>'7.2'!C23</f>
        <v>185682</v>
      </c>
      <c r="D23" s="279">
        <f>'7.2'!F23</f>
        <v>0.98099999999999998</v>
      </c>
      <c r="E23" s="31">
        <f t="shared" si="0"/>
        <v>182154</v>
      </c>
      <c r="G23" s="19"/>
      <c r="H23" s="19"/>
      <c r="I23" s="19"/>
      <c r="L23" s="2"/>
    </row>
    <row r="24" spans="1:17" x14ac:dyDescent="0.2">
      <c r="A24" t="s">
        <v>160</v>
      </c>
      <c r="B24" s="22"/>
      <c r="C24" s="207">
        <f>'7.2'!C24</f>
        <v>1085936</v>
      </c>
      <c r="D24" s="279">
        <f>'7.2'!F24</f>
        <v>2.87</v>
      </c>
      <c r="E24" s="31">
        <f t="shared" si="0"/>
        <v>3116636</v>
      </c>
      <c r="G24" s="19"/>
      <c r="H24" s="19"/>
      <c r="I24" s="19"/>
      <c r="L24" s="2"/>
    </row>
    <row r="25" spans="1:17" x14ac:dyDescent="0.2">
      <c r="A25" t="s">
        <v>161</v>
      </c>
      <c r="B25" s="22"/>
      <c r="C25" s="207">
        <f>'7.2'!C25</f>
        <v>10223620</v>
      </c>
      <c r="D25" s="279">
        <f>'7.2'!F25</f>
        <v>2.7010000000000001</v>
      </c>
      <c r="E25" s="31">
        <f>ROUND(C25*D25,0)</f>
        <v>27613998</v>
      </c>
      <c r="G25" s="19"/>
      <c r="H25" s="19"/>
      <c r="I25" s="19"/>
      <c r="L25" s="2"/>
    </row>
    <row r="26" spans="1:17" x14ac:dyDescent="0.2">
      <c r="A26" t="s">
        <v>162</v>
      </c>
      <c r="C26" s="207">
        <f>'7.2'!C26</f>
        <v>74314</v>
      </c>
      <c r="D26" s="279">
        <f>'7.2'!F26</f>
        <v>1.6180000000000001</v>
      </c>
      <c r="E26" s="31">
        <f t="shared" si="0"/>
        <v>120240</v>
      </c>
      <c r="G26" s="19"/>
      <c r="H26" s="19"/>
      <c r="I26" s="19"/>
      <c r="L26" s="2"/>
    </row>
    <row r="27" spans="1:17" x14ac:dyDescent="0.2">
      <c r="A27" t="s">
        <v>163</v>
      </c>
      <c r="C27" s="207">
        <f>'7.2'!C27</f>
        <v>1622088</v>
      </c>
      <c r="D27" s="279">
        <f>'7.2'!F27</f>
        <v>2.0569999999999999</v>
      </c>
      <c r="E27" s="31">
        <f t="shared" si="0"/>
        <v>3336635</v>
      </c>
      <c r="G27" s="19"/>
      <c r="H27" s="19"/>
      <c r="I27" s="19"/>
      <c r="L27" s="2"/>
    </row>
    <row r="28" spans="1:17" x14ac:dyDescent="0.2">
      <c r="A28" t="s">
        <v>164</v>
      </c>
      <c r="C28" s="207">
        <f>'7.2'!C28</f>
        <v>76748</v>
      </c>
      <c r="D28" s="279">
        <f>'7.2'!F28</f>
        <v>2.1859999999999999</v>
      </c>
      <c r="E28" s="31">
        <f t="shared" si="0"/>
        <v>167771</v>
      </c>
      <c r="G28" s="19"/>
      <c r="H28" s="19"/>
      <c r="I28" s="19"/>
      <c r="L28" s="2"/>
    </row>
    <row r="29" spans="1:17" s="60" customFormat="1" x14ac:dyDescent="0.2">
      <c r="A29" s="9"/>
      <c r="B29" s="26"/>
      <c r="C29" s="208"/>
      <c r="D29" s="280"/>
      <c r="E29" s="32"/>
      <c r="L29" s="2"/>
    </row>
    <row r="30" spans="1:17" x14ac:dyDescent="0.2">
      <c r="C30" s="19"/>
      <c r="D30" s="281"/>
      <c r="E30" s="12"/>
      <c r="L30" s="2"/>
    </row>
    <row r="31" spans="1:17" x14ac:dyDescent="0.2">
      <c r="A31" t="s">
        <v>9</v>
      </c>
      <c r="C31" s="31">
        <f>SUM(C14:C28)</f>
        <v>54712425</v>
      </c>
      <c r="D31" s="279">
        <f>E31/C31*1.03</f>
        <v>3.0981427388751275</v>
      </c>
      <c r="E31" s="31">
        <f>SUM(E14:E28)</f>
        <v>164569808</v>
      </c>
      <c r="G31" s="19"/>
      <c r="H31" s="19"/>
      <c r="I31" s="19"/>
      <c r="L31" s="2"/>
    </row>
    <row r="32" spans="1:17" x14ac:dyDescent="0.2">
      <c r="L32" s="2"/>
    </row>
    <row r="33" spans="1:13" x14ac:dyDescent="0.2">
      <c r="A33" s="56" t="s">
        <v>120</v>
      </c>
      <c r="B33" s="57" t="str">
        <f>'[5]7.1'!$B$33</f>
        <v>Inforce-Premium as of 11/30/19 at Present Rates</v>
      </c>
      <c r="C33" s="60"/>
      <c r="D33" s="60"/>
      <c r="E33" s="31">
        <v>312674278</v>
      </c>
      <c r="I33" s="19"/>
      <c r="L33" s="2"/>
      <c r="M33" s="69">
        <f>'10.2'!$L$26</f>
        <v>43830</v>
      </c>
    </row>
    <row r="34" spans="1:13" x14ac:dyDescent="0.2">
      <c r="A34" s="56" t="s">
        <v>124</v>
      </c>
      <c r="B34" t="s">
        <v>149</v>
      </c>
      <c r="E34" s="20">
        <f>ROUND(E31/E33,3)</f>
        <v>0.52600000000000002</v>
      </c>
      <c r="F34" s="45"/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"&amp;'7.2'!$K$1&amp;", "&amp;'7.2'!$K$2</f>
        <v>(3) Exhibit 7, Sheet 2</v>
      </c>
      <c r="L39" s="2"/>
    </row>
    <row r="40" spans="1:13" x14ac:dyDescent="0.2">
      <c r="B40" s="22" t="str">
        <f>E12&amp;" = "&amp;C12&amp;" * "&amp;D12</f>
        <v>(4) = (2) * (3)</v>
      </c>
      <c r="F40" s="61"/>
      <c r="G40" s="23"/>
      <c r="L40" s="2"/>
    </row>
    <row r="41" spans="1:13" x14ac:dyDescent="0.2">
      <c r="B41" s="22" t="str">
        <f>A33&amp;" Provided by TWIA"</f>
        <v>(5) Provided by TWIA</v>
      </c>
      <c r="L41" s="2"/>
    </row>
    <row r="42" spans="1:13" x14ac:dyDescent="0.2">
      <c r="B42" s="22" t="str">
        <f>A34&amp;" = "&amp;E12&amp;" Total / "&amp;A33</f>
        <v>(6) = (4) Total / (5)</v>
      </c>
      <c r="L42" s="2"/>
    </row>
    <row r="43" spans="1:13" s="60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60" customFormat="1" x14ac:dyDescent="0.2">
      <c r="A51"/>
      <c r="B51"/>
      <c r="C51"/>
      <c r="D51"/>
      <c r="E51"/>
      <c r="L51" s="2"/>
    </row>
    <row r="52" spans="1:12" s="60" customFormat="1" x14ac:dyDescent="0.2">
      <c r="L52" s="2"/>
    </row>
    <row r="53" spans="1:12" s="60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0" customFormat="1" x14ac:dyDescent="0.2">
      <c r="L54" s="2"/>
    </row>
    <row r="55" spans="1:12" s="60" customFormat="1" x14ac:dyDescent="0.2">
      <c r="A55" s="66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0" customFormat="1" x14ac:dyDescent="0.2">
      <c r="A56" s="66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0" customFormat="1" x14ac:dyDescent="0.2">
      <c r="A57" s="66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0" customFormat="1" x14ac:dyDescent="0.2">
      <c r="A58" s="66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0" customFormat="1" x14ac:dyDescent="0.2">
      <c r="A59" s="66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0" customFormat="1" x14ac:dyDescent="0.2">
      <c r="A60" s="66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0" customFormat="1" x14ac:dyDescent="0.2">
      <c r="A61" s="66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0" customFormat="1" x14ac:dyDescent="0.2">
      <c r="A62" s="66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0" customFormat="1" x14ac:dyDescent="0.2">
      <c r="A63" s="66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1"/>
      <c r="D64" s="61"/>
      <c r="E64" s="61"/>
      <c r="F64" s="61"/>
      <c r="G64" s="23"/>
      <c r="L64" s="2"/>
    </row>
    <row r="65" spans="1:12" x14ac:dyDescent="0.2">
      <c r="B65" s="25"/>
      <c r="C65" s="61"/>
      <c r="D65" s="61"/>
      <c r="E65" s="61"/>
      <c r="F65" s="61"/>
      <c r="G65" s="23"/>
      <c r="L65" s="2"/>
    </row>
    <row r="66" spans="1:12" x14ac:dyDescent="0.2">
      <c r="B66" s="25"/>
      <c r="C66" s="61"/>
      <c r="D66" s="61"/>
      <c r="E66" s="61"/>
      <c r="F66" s="61"/>
      <c r="G66" s="23"/>
      <c r="L66" s="2"/>
    </row>
    <row r="67" spans="1:12" x14ac:dyDescent="0.2">
      <c r="B67" s="25"/>
      <c r="C67" s="61"/>
      <c r="D67" s="61"/>
      <c r="E67" s="61"/>
      <c r="F67" s="61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>
    <tabColor rgb="FF92D050"/>
  </sheetPr>
  <dimension ref="A1:O71"/>
  <sheetViews>
    <sheetView showGridLines="0" workbookViewId="0">
      <selection activeCell="J34" sqref="J34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298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170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52" t="s">
        <v>143</v>
      </c>
      <c r="D9" t="s">
        <v>71</v>
      </c>
      <c r="L9" s="2"/>
      <c r="M9" s="27"/>
    </row>
    <row r="10" spans="1:13" x14ac:dyDescent="0.2">
      <c r="C10" t="s">
        <v>144</v>
      </c>
      <c r="D10" t="s">
        <v>166</v>
      </c>
      <c r="E10" t="s">
        <v>323</v>
      </c>
      <c r="F10" t="s">
        <v>145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11/30/19</v>
      </c>
      <c r="D11" s="9" t="s">
        <v>167</v>
      </c>
      <c r="E11" s="9" t="s">
        <v>324</v>
      </c>
      <c r="F11" s="9" t="s">
        <v>146</v>
      </c>
      <c r="L11" s="2"/>
      <c r="M11" s="85">
        <f>'8.2'!M11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150</v>
      </c>
      <c r="C14" s="82">
        <f>ROUND('[3]Hurr Models'!$F30/1000,0)</f>
        <v>1560360</v>
      </c>
      <c r="D14" s="82">
        <f>ROUND('[3]Hurr Models'!$L30,0)</f>
        <v>4195184</v>
      </c>
      <c r="E14" s="39">
        <f>$M$37/10+1</f>
        <v>1.004</v>
      </c>
      <c r="F14" s="39">
        <f>ROUND(D14/C14*E14,3)</f>
        <v>2.6989999999999998</v>
      </c>
      <c r="H14" s="19"/>
      <c r="I14" s="19"/>
      <c r="L14" s="2"/>
      <c r="M14" s="43"/>
    </row>
    <row r="15" spans="1:13" x14ac:dyDescent="0.2">
      <c r="A15" t="s">
        <v>151</v>
      </c>
      <c r="C15" s="82">
        <f>ROUND('[3]Hurr Models'!$F31/1000,0)</f>
        <v>9623822</v>
      </c>
      <c r="D15" s="82">
        <f>ROUND('[3]Hurr Models'!$L31,0)</f>
        <v>17422331</v>
      </c>
      <c r="E15" s="39">
        <f t="shared" ref="E15:E31" si="0">$M$37/10+1</f>
        <v>1.004</v>
      </c>
      <c r="F15" s="39">
        <f t="shared" ref="F15:F27" si="1">ROUND(D15/C15*E15,3)</f>
        <v>1.8180000000000001</v>
      </c>
      <c r="H15" s="19"/>
      <c r="I15" s="19"/>
      <c r="L15" s="2"/>
      <c r="M15" s="43"/>
    </row>
    <row r="16" spans="1:13" x14ac:dyDescent="0.2">
      <c r="A16" t="s">
        <v>152</v>
      </c>
      <c r="C16" s="82">
        <f>ROUND('[3]Hurr Models'!$F32/1000,0)</f>
        <v>884611</v>
      </c>
      <c r="D16" s="82">
        <f>ROUND('[3]Hurr Models'!$L32,0)</f>
        <v>2847688</v>
      </c>
      <c r="E16" s="39">
        <f t="shared" si="0"/>
        <v>1.004</v>
      </c>
      <c r="F16" s="39">
        <f t="shared" si="1"/>
        <v>3.2320000000000002</v>
      </c>
      <c r="H16" s="19"/>
      <c r="I16" s="19"/>
      <c r="L16" s="2"/>
      <c r="M16" s="43"/>
    </row>
    <row r="17" spans="1:15" x14ac:dyDescent="0.2">
      <c r="A17" t="s">
        <v>153</v>
      </c>
      <c r="C17" s="82">
        <f>ROUND('[3]Hurr Models'!$F33/1000,0)</f>
        <v>2184121</v>
      </c>
      <c r="D17" s="82">
        <f>ROUND('[3]Hurr Models'!$L33,0)</f>
        <v>3992197</v>
      </c>
      <c r="E17" s="39">
        <f t="shared" si="0"/>
        <v>1.004</v>
      </c>
      <c r="F17" s="39">
        <f t="shared" si="1"/>
        <v>1.835</v>
      </c>
      <c r="H17" s="19"/>
      <c r="I17" s="19"/>
      <c r="L17" s="2"/>
      <c r="M17" s="43"/>
    </row>
    <row r="18" spans="1:15" x14ac:dyDescent="0.2">
      <c r="A18" t="s">
        <v>154</v>
      </c>
      <c r="C18" s="82">
        <f>ROUND('[3]Hurr Models'!$F34/1000,0)</f>
        <v>1407119</v>
      </c>
      <c r="D18" s="82">
        <f>ROUND('[3]Hurr Models'!$L34,0)</f>
        <v>2468157</v>
      </c>
      <c r="E18" s="39">
        <f t="shared" si="0"/>
        <v>1.004</v>
      </c>
      <c r="F18" s="39">
        <f t="shared" si="1"/>
        <v>1.7609999999999999</v>
      </c>
      <c r="H18" s="19"/>
      <c r="I18" s="19"/>
      <c r="L18" s="2"/>
      <c r="M18" s="43"/>
    </row>
    <row r="19" spans="1:15" x14ac:dyDescent="0.2">
      <c r="A19" t="s">
        <v>155</v>
      </c>
      <c r="C19" s="82">
        <f>ROUND('[3]Hurr Models'!$F35/1000,0)</f>
        <v>18526442</v>
      </c>
      <c r="D19" s="82">
        <f>ROUND('[3]Hurr Models'!$L35,0)</f>
        <v>80652773</v>
      </c>
      <c r="E19" s="39">
        <f t="shared" si="0"/>
        <v>1.004</v>
      </c>
      <c r="F19" s="39">
        <f t="shared" si="1"/>
        <v>4.3710000000000004</v>
      </c>
      <c r="H19" s="19"/>
      <c r="I19" s="19"/>
      <c r="L19" s="2"/>
      <c r="M19" s="43"/>
    </row>
    <row r="20" spans="1:15" x14ac:dyDescent="0.2">
      <c r="A20" t="s">
        <v>156</v>
      </c>
      <c r="C20" s="82">
        <f>ROUND('[3]Hurr Models'!$F36/1000,0)</f>
        <v>1104156</v>
      </c>
      <c r="D20" s="82">
        <f>ROUND('[3]Hurr Models'!$L36,0)</f>
        <v>4849825</v>
      </c>
      <c r="E20" s="39">
        <f t="shared" si="0"/>
        <v>1.004</v>
      </c>
      <c r="F20" s="39">
        <f t="shared" si="1"/>
        <v>4.41</v>
      </c>
      <c r="H20" s="19"/>
      <c r="I20" s="19"/>
      <c r="L20" s="2"/>
      <c r="M20" s="43"/>
    </row>
    <row r="21" spans="1:15" x14ac:dyDescent="0.2">
      <c r="A21" t="s">
        <v>157</v>
      </c>
      <c r="C21" s="82">
        <f>ROUND('[3]Hurr Models'!$F37/1000,0)</f>
        <v>6147764</v>
      </c>
      <c r="D21" s="82">
        <f>ROUND('[3]Hurr Models'!$L37,0)</f>
        <v>13072112</v>
      </c>
      <c r="E21" s="39">
        <f t="shared" si="0"/>
        <v>1.004</v>
      </c>
      <c r="F21" s="39">
        <f t="shared" si="1"/>
        <v>2.1349999999999998</v>
      </c>
      <c r="H21" s="19"/>
      <c r="I21" s="19"/>
      <c r="L21" s="2"/>
      <c r="M21" s="43"/>
    </row>
    <row r="22" spans="1:15" x14ac:dyDescent="0.2">
      <c r="A22" t="s">
        <v>158</v>
      </c>
      <c r="C22" s="82">
        <f>ROUND('[3]Hurr Models'!$F38/1000,0)</f>
        <v>5642</v>
      </c>
      <c r="D22" s="82">
        <f>ROUND('[3]Hurr Models'!$L38,0)</f>
        <v>6086</v>
      </c>
      <c r="E22" s="39">
        <f t="shared" si="0"/>
        <v>1.004</v>
      </c>
      <c r="F22" s="39">
        <f t="shared" si="1"/>
        <v>1.083</v>
      </c>
      <c r="H22" s="19"/>
      <c r="I22" s="19"/>
      <c r="L22" s="2"/>
      <c r="M22" s="43"/>
    </row>
    <row r="23" spans="1:15" x14ac:dyDescent="0.2">
      <c r="A23" t="s">
        <v>159</v>
      </c>
      <c r="B23" s="22"/>
      <c r="C23" s="82">
        <f>ROUND('[3]Hurr Models'!$F39/1000,0)</f>
        <v>185682</v>
      </c>
      <c r="D23" s="82">
        <f>ROUND('[3]Hurr Models'!$L39,0)</f>
        <v>181406</v>
      </c>
      <c r="E23" s="39">
        <f t="shared" si="0"/>
        <v>1.004</v>
      </c>
      <c r="F23" s="39">
        <f t="shared" si="1"/>
        <v>0.98099999999999998</v>
      </c>
      <c r="H23" s="19"/>
      <c r="I23" s="19"/>
      <c r="L23" s="2"/>
      <c r="M23" s="43"/>
    </row>
    <row r="24" spans="1:15" x14ac:dyDescent="0.2">
      <c r="A24" t="s">
        <v>160</v>
      </c>
      <c r="B24" s="22"/>
      <c r="C24" s="82">
        <f>ROUND('[3]Hurr Models'!$F40/1000,0)</f>
        <v>1085936</v>
      </c>
      <c r="D24" s="82">
        <f>ROUND('[3]Hurr Models'!$L40,0)</f>
        <v>3103721</v>
      </c>
      <c r="E24" s="39">
        <f t="shared" si="0"/>
        <v>1.004</v>
      </c>
      <c r="F24" s="39">
        <f t="shared" si="1"/>
        <v>2.87</v>
      </c>
      <c r="H24" s="19"/>
      <c r="I24" s="19"/>
      <c r="L24" s="2"/>
      <c r="M24" s="43"/>
    </row>
    <row r="25" spans="1:15" x14ac:dyDescent="0.2">
      <c r="A25" t="s">
        <v>161</v>
      </c>
      <c r="B25" s="22"/>
      <c r="C25" s="82">
        <f>ROUND('[3]Hurr Models'!$F41/1000,0)</f>
        <v>10223620</v>
      </c>
      <c r="D25" s="82">
        <f>ROUND('[3]Hurr Models'!$L41,0)</f>
        <v>27506251</v>
      </c>
      <c r="E25" s="39">
        <f t="shared" si="0"/>
        <v>1.004</v>
      </c>
      <c r="F25" s="39">
        <f t="shared" si="1"/>
        <v>2.7010000000000001</v>
      </c>
      <c r="H25" s="19"/>
      <c r="I25" s="19"/>
      <c r="L25" s="2"/>
      <c r="M25" s="43"/>
    </row>
    <row r="26" spans="1:15" x14ac:dyDescent="0.2">
      <c r="A26" t="s">
        <v>162</v>
      </c>
      <c r="C26" s="82">
        <f>ROUND('[3]Hurr Models'!$F42/1000,0)</f>
        <v>74314</v>
      </c>
      <c r="D26" s="82">
        <f>ROUND('[3]Hurr Models'!$L42,0)</f>
        <v>119729</v>
      </c>
      <c r="E26" s="39">
        <f t="shared" si="0"/>
        <v>1.004</v>
      </c>
      <c r="F26" s="39">
        <f t="shared" si="1"/>
        <v>1.6180000000000001</v>
      </c>
      <c r="H26" s="19"/>
      <c r="I26" s="19"/>
      <c r="L26" s="2"/>
      <c r="M26" s="43"/>
    </row>
    <row r="27" spans="1:15" x14ac:dyDescent="0.2">
      <c r="A27" t="s">
        <v>163</v>
      </c>
      <c r="C27" s="82">
        <f>ROUND('[3]Hurr Models'!$F43/1000,0)</f>
        <v>1622088</v>
      </c>
      <c r="D27" s="82">
        <f>ROUND('[3]Hurr Models'!$L43,0)</f>
        <v>3323670</v>
      </c>
      <c r="E27" s="39">
        <f t="shared" si="0"/>
        <v>1.004</v>
      </c>
      <c r="F27" s="39">
        <f t="shared" si="1"/>
        <v>2.0569999999999999</v>
      </c>
      <c r="H27" s="19"/>
      <c r="I27" s="19"/>
      <c r="L27" s="2"/>
      <c r="M27" s="43"/>
    </row>
    <row r="28" spans="1:15" x14ac:dyDescent="0.2">
      <c r="A28" t="s">
        <v>164</v>
      </c>
      <c r="C28" s="82">
        <f>ROUND('[3]Hurr Models'!$F44/1000,0)</f>
        <v>76748</v>
      </c>
      <c r="D28" s="82">
        <f>ROUND('[3]Hurr Models'!$L44,0)</f>
        <v>167096</v>
      </c>
      <c r="E28" s="39">
        <f t="shared" si="0"/>
        <v>1.004</v>
      </c>
      <c r="F28" s="39">
        <f>ROUND(D28/C28*E28,3)</f>
        <v>2.1859999999999999</v>
      </c>
      <c r="H28" s="19"/>
      <c r="I28" s="19"/>
      <c r="L28" s="2"/>
      <c r="M28" s="43"/>
    </row>
    <row r="29" spans="1:15" x14ac:dyDescent="0.2">
      <c r="A29" s="9"/>
      <c r="B29" s="26"/>
      <c r="C29" s="83"/>
      <c r="D29" s="83"/>
      <c r="E29" s="40"/>
      <c r="F29" s="40"/>
      <c r="G29" s="45"/>
      <c r="H29" s="45"/>
      <c r="I29" s="45"/>
      <c r="J29" s="45"/>
      <c r="K29" s="60"/>
      <c r="L29" s="2"/>
    </row>
    <row r="30" spans="1:15" x14ac:dyDescent="0.2">
      <c r="C30" s="19"/>
      <c r="D30" s="19"/>
      <c r="E30" s="12"/>
      <c r="F30" s="12"/>
      <c r="L30" s="2"/>
    </row>
    <row r="31" spans="1:15" x14ac:dyDescent="0.2">
      <c r="A31" t="s">
        <v>9</v>
      </c>
      <c r="C31" s="31">
        <f>SUM(C14:C28)</f>
        <v>54712425</v>
      </c>
      <c r="D31" s="31">
        <f>SUM(D14:D28)</f>
        <v>163908226</v>
      </c>
      <c r="E31" s="39">
        <f t="shared" si="0"/>
        <v>1.004</v>
      </c>
      <c r="F31" s="39">
        <f>ROUND(D31/C31*E31,3)</f>
        <v>3.008</v>
      </c>
      <c r="L31" s="2"/>
    </row>
    <row r="32" spans="1:15" ht="12" thickBot="1" x14ac:dyDescent="0.25">
      <c r="A32" s="6"/>
      <c r="B32" s="6"/>
      <c r="C32" s="6"/>
      <c r="D32" s="6"/>
      <c r="E32" s="6"/>
      <c r="F32" s="6"/>
      <c r="L32" s="2"/>
      <c r="M32" t="s">
        <v>358</v>
      </c>
      <c r="N32" s="19">
        <v>493348.63175354199</v>
      </c>
      <c r="O32" s="19">
        <v>167800254.036127</v>
      </c>
    </row>
    <row r="33" spans="1:14" ht="12" thickTop="1" x14ac:dyDescent="0.2">
      <c r="L33" s="2"/>
      <c r="N33" s="19">
        <f>SUM(N32,O32)</f>
        <v>168293602.66788054</v>
      </c>
    </row>
    <row r="34" spans="1:14" x14ac:dyDescent="0.2">
      <c r="A34" t="s">
        <v>17</v>
      </c>
      <c r="L34" s="2"/>
      <c r="N34">
        <f>N33/D31</f>
        <v>1.0267550737074083</v>
      </c>
    </row>
    <row r="35" spans="1:14" x14ac:dyDescent="0.2">
      <c r="B35" s="22" t="str">
        <f>C12&amp;" Provided by TWIA and Geo-coded by AIR"</f>
        <v>(2) Provided by TWIA and Geo-coded by AIR</v>
      </c>
      <c r="L35" s="2"/>
    </row>
    <row r="36" spans="1:14" x14ac:dyDescent="0.2">
      <c r="B36" s="22" t="str">
        <f>D12&amp;" Provided by AIR"</f>
        <v>(3) Provided by AIR</v>
      </c>
      <c r="L36" s="2"/>
    </row>
    <row r="37" spans="1:14" x14ac:dyDescent="0.2">
      <c r="B37" s="22" t="str">
        <f>E12&amp;" = 10% of modeled storm surge increase, estimated to be "&amp;TEXT($M$37,"0.0%")</f>
        <v>(4) = 10% of modeled storm surge increase, estimated to be 4.0%</v>
      </c>
      <c r="F37" s="61"/>
      <c r="G37" s="23"/>
      <c r="L37" s="2"/>
      <c r="M37" s="318">
        <v>0.04</v>
      </c>
      <c r="N37" t="s">
        <v>325</v>
      </c>
    </row>
    <row r="38" spans="1:14" x14ac:dyDescent="0.2">
      <c r="B38" s="22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2"/>
    </row>
    <row r="41" spans="1:14" x14ac:dyDescent="0.2">
      <c r="L41" s="2"/>
    </row>
    <row r="42" spans="1:14" s="60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60" customFormat="1" x14ac:dyDescent="0.2">
      <c r="A43"/>
      <c r="B43"/>
      <c r="C43"/>
      <c r="D43"/>
      <c r="E43"/>
      <c r="F43" s="45"/>
      <c r="G43"/>
      <c r="H43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60" customFormat="1" x14ac:dyDescent="0.2">
      <c r="A51"/>
      <c r="B51"/>
      <c r="C51"/>
      <c r="D51"/>
      <c r="E51"/>
      <c r="L51" s="2"/>
    </row>
    <row r="52" spans="1:12" s="60" customFormat="1" x14ac:dyDescent="0.2">
      <c r="L52" s="2"/>
    </row>
    <row r="53" spans="1:12" s="60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0" customFormat="1" x14ac:dyDescent="0.2">
      <c r="L54" s="2"/>
    </row>
    <row r="55" spans="1:12" s="60" customFormat="1" x14ac:dyDescent="0.2">
      <c r="A55" s="66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0" customFormat="1" x14ac:dyDescent="0.2">
      <c r="A56" s="66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0" customFormat="1" x14ac:dyDescent="0.2">
      <c r="A57" s="66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0" customFormat="1" x14ac:dyDescent="0.2">
      <c r="A58" s="66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0" customFormat="1" x14ac:dyDescent="0.2">
      <c r="A59" s="66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0" customFormat="1" x14ac:dyDescent="0.2">
      <c r="A60" s="66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0" customFormat="1" x14ac:dyDescent="0.2">
      <c r="A61" s="66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0" customFormat="1" x14ac:dyDescent="0.2">
      <c r="A62" s="66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0" customFormat="1" x14ac:dyDescent="0.2">
      <c r="A63" s="66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1"/>
      <c r="D64" s="61"/>
      <c r="E64" s="61"/>
      <c r="F64" s="61"/>
      <c r="G64" s="23"/>
      <c r="L64" s="2"/>
    </row>
    <row r="65" spans="1:12" x14ac:dyDescent="0.2">
      <c r="B65" s="25"/>
      <c r="C65" s="61"/>
      <c r="D65" s="61"/>
      <c r="E65" s="61"/>
      <c r="F65" s="61"/>
      <c r="G65" s="23"/>
      <c r="L65" s="2"/>
    </row>
    <row r="66" spans="1:12" x14ac:dyDescent="0.2">
      <c r="B66" s="25"/>
      <c r="C66" s="61"/>
      <c r="D66" s="61"/>
      <c r="E66" s="61"/>
      <c r="F66" s="61"/>
      <c r="G66" s="23"/>
      <c r="L66" s="2"/>
    </row>
    <row r="67" spans="1:12" x14ac:dyDescent="0.2">
      <c r="B67" s="25"/>
      <c r="C67" s="61"/>
      <c r="D67" s="61"/>
      <c r="E67" s="61"/>
      <c r="F67" s="61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  <row r="71" spans="1:12" x14ac:dyDescent="0.2">
      <c r="B71" t="s">
        <v>333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L69"/>
  <sheetViews>
    <sheetView showGridLines="0" workbookViewId="0">
      <selection activeCell="C27" sqref="C27"/>
    </sheetView>
  </sheetViews>
  <sheetFormatPr defaultColWidth="11.33203125" defaultRowHeight="11.25" x14ac:dyDescent="0.2"/>
  <cols>
    <col min="1" max="1" width="2.5" bestFit="1" customWidth="1"/>
    <col min="2" max="2" width="16.6640625" customWidth="1"/>
    <col min="3" max="5" width="15.33203125" customWidth="1"/>
    <col min="6" max="9" width="11.3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J3" s="131"/>
      <c r="K3" s="2"/>
    </row>
    <row r="4" spans="1:12" x14ac:dyDescent="0.2">
      <c r="A4" t="s">
        <v>18</v>
      </c>
      <c r="B4" s="12"/>
      <c r="K4" s="2"/>
    </row>
    <row r="5" spans="1:12" x14ac:dyDescent="0.2">
      <c r="A5" t="s">
        <v>19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  <c r="L8" t="s">
        <v>219</v>
      </c>
    </row>
    <row r="9" spans="1:12" x14ac:dyDescent="0.2">
      <c r="C9" s="24" t="str">
        <f>YEAR($L$9)&amp;" Written Premium"</f>
        <v>2019 Written Premium</v>
      </c>
      <c r="E9" t="s">
        <v>13</v>
      </c>
      <c r="K9" s="2"/>
      <c r="L9" s="292">
        <v>43830</v>
      </c>
    </row>
    <row r="10" spans="1:12" x14ac:dyDescent="0.2">
      <c r="E10" t="s">
        <v>8</v>
      </c>
      <c r="K10" s="2"/>
    </row>
    <row r="11" spans="1:12" x14ac:dyDescent="0.2">
      <c r="A11" s="9" t="s">
        <v>22</v>
      </c>
      <c r="B11" s="9"/>
      <c r="C11" s="9" t="s">
        <v>27</v>
      </c>
      <c r="D11" s="9" t="s">
        <v>28</v>
      </c>
      <c r="E11" s="9" t="s">
        <v>29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">
        <v>23</v>
      </c>
      <c r="C14" s="82">
        <f>'[3]TWIA 5'!Y23</f>
        <v>108030247</v>
      </c>
      <c r="D14" s="20">
        <f>C14/C$19</f>
        <v>0.34361612494068755</v>
      </c>
      <c r="E14" s="29">
        <f>'2.2a'!$H$26</f>
        <v>0.11700000000000001</v>
      </c>
      <c r="G14" s="20"/>
      <c r="H14" s="20"/>
      <c r="K14" s="2"/>
    </row>
    <row r="15" spans="1:12" x14ac:dyDescent="0.2">
      <c r="A15" t="s">
        <v>26</v>
      </c>
      <c r="C15" s="82">
        <f>'[3]TWIA 5'!Y24</f>
        <v>58233887</v>
      </c>
      <c r="D15" s="20">
        <f>C15/C$19</f>
        <v>0.18522685217200216</v>
      </c>
      <c r="E15" s="29">
        <f>'2.2b'!$H$26</f>
        <v>0.16</v>
      </c>
      <c r="G15" s="20"/>
      <c r="H15" s="20"/>
      <c r="K15" s="2"/>
    </row>
    <row r="16" spans="1:12" x14ac:dyDescent="0.2">
      <c r="A16" t="s">
        <v>25</v>
      </c>
      <c r="C16" s="82">
        <f>'[3]TWIA 5'!Y25</f>
        <v>143774114</v>
      </c>
      <c r="D16" s="20">
        <f>C16/C$19</f>
        <v>0.45730807150205494</v>
      </c>
      <c r="E16" s="29">
        <f>'2.2c'!$H$26</f>
        <v>0.161</v>
      </c>
      <c r="G16" s="20"/>
      <c r="H16" s="20"/>
      <c r="K16" s="2"/>
    </row>
    <row r="17" spans="1:11" x14ac:dyDescent="0.2">
      <c r="A17" s="9" t="s">
        <v>24</v>
      </c>
      <c r="B17" s="9"/>
      <c r="C17" s="83">
        <f>'[3]TWIA 5'!Y26</f>
        <v>4354003</v>
      </c>
      <c r="D17" s="21">
        <f>C17/C$19</f>
        <v>1.3848951385255357E-2</v>
      </c>
      <c r="E17" s="30">
        <f>'2.2d'!$H$26</f>
        <v>0.15</v>
      </c>
      <c r="G17" s="20"/>
      <c r="H17" s="20"/>
      <c r="K17" s="2"/>
    </row>
    <row r="18" spans="1:11" x14ac:dyDescent="0.2">
      <c r="K18" s="2"/>
    </row>
    <row r="19" spans="1:11" x14ac:dyDescent="0.2">
      <c r="A19" t="s">
        <v>30</v>
      </c>
      <c r="C19" s="19">
        <f>SUM(C14:C17)</f>
        <v>314392251</v>
      </c>
      <c r="D19" s="20">
        <f>SUM(D14:D17)</f>
        <v>1</v>
      </c>
      <c r="E19" s="29">
        <f>ROUND(SUMPRODUCT(D14:D17,E14:E17)/D19,3)</f>
        <v>0.14599999999999999</v>
      </c>
      <c r="K19" s="2"/>
    </row>
    <row r="20" spans="1:11" ht="12" thickBot="1" x14ac:dyDescent="0.25">
      <c r="A20" s="6"/>
      <c r="B20" s="6"/>
      <c r="C20" s="6"/>
      <c r="D20" s="6"/>
      <c r="E20" s="6"/>
      <c r="K20" s="2"/>
    </row>
    <row r="21" spans="1:11" ht="12" thickTop="1" x14ac:dyDescent="0.2">
      <c r="K21" s="2"/>
    </row>
    <row r="22" spans="1:11" x14ac:dyDescent="0.2">
      <c r="A22" t="s">
        <v>17</v>
      </c>
      <c r="K22" s="2"/>
    </row>
    <row r="23" spans="1:11" x14ac:dyDescent="0.2">
      <c r="B23" s="12" t="str">
        <f>C12&amp;" TWIA data"</f>
        <v>(2) TWIA data</v>
      </c>
      <c r="K23" s="2"/>
    </row>
    <row r="24" spans="1:11" x14ac:dyDescent="0.2">
      <c r="B24" s="12" t="str">
        <f>D12&amp;" = "&amp;C12&amp;" / "&amp;C12&amp;" Total"</f>
        <v>(3) = (2) / (2) Total</v>
      </c>
      <c r="K24" s="2"/>
    </row>
    <row r="25" spans="1:11" x14ac:dyDescent="0.2">
      <c r="B25" s="22" t="str">
        <f>E12&amp;" "&amp;'2.2a'!$J$1&amp;", "&amp;'2.2a'!$J$2&amp;" - "&amp;'2.2d'!$J$2</f>
        <v>(4) Exhibit 2, Sheet 2a - Sheet 2d</v>
      </c>
      <c r="K25" s="2"/>
    </row>
    <row r="26" spans="1:11" x14ac:dyDescent="0.2">
      <c r="B26" s="17"/>
      <c r="K26" s="2"/>
    </row>
    <row r="27" spans="1:11" x14ac:dyDescent="0.2">
      <c r="K27" s="2"/>
    </row>
    <row r="28" spans="1:11" x14ac:dyDescent="0.2">
      <c r="K28" s="2"/>
    </row>
    <row r="29" spans="1:11" x14ac:dyDescent="0.2">
      <c r="K29" s="2"/>
    </row>
    <row r="30" spans="1:11" x14ac:dyDescent="0.2">
      <c r="K30" s="2"/>
    </row>
    <row r="31" spans="1:11" x14ac:dyDescent="0.2">
      <c r="K31" s="2"/>
    </row>
    <row r="32" spans="1:11" x14ac:dyDescent="0.2">
      <c r="K32" s="2"/>
    </row>
    <row r="33" spans="11:11" x14ac:dyDescent="0.2">
      <c r="K33" s="2"/>
    </row>
    <row r="34" spans="11:11" x14ac:dyDescent="0.2">
      <c r="K34" s="2"/>
    </row>
    <row r="35" spans="11:11" x14ac:dyDescent="0.2">
      <c r="K35" s="2"/>
    </row>
    <row r="36" spans="11:11" x14ac:dyDescent="0.2">
      <c r="K36" s="2"/>
    </row>
    <row r="37" spans="11:11" x14ac:dyDescent="0.2">
      <c r="K37" s="2"/>
    </row>
    <row r="38" spans="11:11" x14ac:dyDescent="0.2">
      <c r="K38" s="2"/>
    </row>
    <row r="39" spans="11:11" x14ac:dyDescent="0.2">
      <c r="K39" s="2"/>
    </row>
    <row r="40" spans="11:11" x14ac:dyDescent="0.2">
      <c r="K40" s="2"/>
    </row>
    <row r="41" spans="11:11" x14ac:dyDescent="0.2">
      <c r="K41" s="2"/>
    </row>
    <row r="42" spans="11:11" x14ac:dyDescent="0.2">
      <c r="K42" s="2"/>
    </row>
    <row r="43" spans="11:11" x14ac:dyDescent="0.2">
      <c r="K43" s="2"/>
    </row>
    <row r="44" spans="11:11" x14ac:dyDescent="0.2">
      <c r="K44" s="2"/>
    </row>
    <row r="45" spans="11:11" x14ac:dyDescent="0.2">
      <c r="K45" s="2"/>
    </row>
    <row r="46" spans="11:11" x14ac:dyDescent="0.2">
      <c r="K46" s="2"/>
    </row>
    <row r="47" spans="11:11" x14ac:dyDescent="0.2">
      <c r="K47" s="2"/>
    </row>
    <row r="48" spans="1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>
    <tabColor rgb="FF92D050"/>
  </sheetPr>
  <dimension ref="A1:M69"/>
  <sheetViews>
    <sheetView showGridLines="0" workbookViewId="0">
      <selection activeCell="J45" sqref="J45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168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21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172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52" t="s">
        <v>143</v>
      </c>
      <c r="L9" s="2"/>
      <c r="M9" s="27"/>
    </row>
    <row r="10" spans="1:13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11/30/19</v>
      </c>
      <c r="D11" s="258" t="s">
        <v>146</v>
      </c>
      <c r="E11" s="9" t="s">
        <v>147</v>
      </c>
      <c r="L11" s="2"/>
      <c r="M11" s="52">
        <f>'7.1'!$M$11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150</v>
      </c>
      <c r="C14" s="31">
        <f>'8.2'!C14</f>
        <v>1560360</v>
      </c>
      <c r="D14" s="279">
        <f>'8.2'!F14</f>
        <v>2.4169999999999998</v>
      </c>
      <c r="E14" s="31">
        <f t="shared" ref="E14:E28" si="0">ROUND(C14*D14,0)</f>
        <v>3771390</v>
      </c>
      <c r="L14" s="2"/>
    </row>
    <row r="15" spans="1:13" x14ac:dyDescent="0.2">
      <c r="A15" t="s">
        <v>151</v>
      </c>
      <c r="C15" s="31">
        <f>'8.2'!C15</f>
        <v>9623822</v>
      </c>
      <c r="D15" s="279">
        <f>'8.2'!F15</f>
        <v>1.7529999999999999</v>
      </c>
      <c r="E15" s="31">
        <f t="shared" si="0"/>
        <v>16870560</v>
      </c>
      <c r="L15" s="2"/>
    </row>
    <row r="16" spans="1:13" x14ac:dyDescent="0.2">
      <c r="A16" t="s">
        <v>152</v>
      </c>
      <c r="C16" s="31">
        <f>'8.2'!C16</f>
        <v>884611</v>
      </c>
      <c r="D16" s="279">
        <f>'8.2'!F16</f>
        <v>3.6240000000000001</v>
      </c>
      <c r="E16" s="31">
        <f t="shared" si="0"/>
        <v>3205830</v>
      </c>
      <c r="L16" s="2"/>
    </row>
    <row r="17" spans="1:12" x14ac:dyDescent="0.2">
      <c r="A17" t="s">
        <v>153</v>
      </c>
      <c r="C17" s="31">
        <f>'8.2'!C17</f>
        <v>2184121</v>
      </c>
      <c r="D17" s="279">
        <f>'8.2'!F17</f>
        <v>2.0870000000000002</v>
      </c>
      <c r="E17" s="31">
        <f t="shared" si="0"/>
        <v>4558261</v>
      </c>
      <c r="L17" s="2"/>
    </row>
    <row r="18" spans="1:12" x14ac:dyDescent="0.2">
      <c r="A18" t="s">
        <v>154</v>
      </c>
      <c r="C18" s="31">
        <f>'8.2'!C18</f>
        <v>1407119</v>
      </c>
      <c r="D18" s="279">
        <f>'8.2'!F18</f>
        <v>1.6739999999999999</v>
      </c>
      <c r="E18" s="31">
        <f t="shared" si="0"/>
        <v>2355517</v>
      </c>
      <c r="L18" s="2"/>
    </row>
    <row r="19" spans="1:12" x14ac:dyDescent="0.2">
      <c r="A19" t="s">
        <v>155</v>
      </c>
      <c r="C19" s="31">
        <f>'8.2'!C19</f>
        <v>18526442</v>
      </c>
      <c r="D19" s="279">
        <f>'8.2'!F19</f>
        <v>3.2759999999999998</v>
      </c>
      <c r="E19" s="31">
        <f t="shared" si="0"/>
        <v>60692624</v>
      </c>
      <c r="L19" s="2"/>
    </row>
    <row r="20" spans="1:12" x14ac:dyDescent="0.2">
      <c r="A20" t="s">
        <v>156</v>
      </c>
      <c r="C20" s="31">
        <f>'8.2'!C20</f>
        <v>1104156</v>
      </c>
      <c r="D20" s="279">
        <f>'8.2'!F20</f>
        <v>2.92</v>
      </c>
      <c r="E20" s="31">
        <f t="shared" si="0"/>
        <v>3224136</v>
      </c>
      <c r="L20" s="2"/>
    </row>
    <row r="21" spans="1:12" x14ac:dyDescent="0.2">
      <c r="A21" t="s">
        <v>157</v>
      </c>
      <c r="C21" s="31">
        <f>'8.2'!C21</f>
        <v>6147764</v>
      </c>
      <c r="D21" s="279">
        <f>'8.2'!F21</f>
        <v>1.8919999999999999</v>
      </c>
      <c r="E21" s="31">
        <f t="shared" si="0"/>
        <v>11631569</v>
      </c>
      <c r="L21" s="2"/>
    </row>
    <row r="22" spans="1:12" x14ac:dyDescent="0.2">
      <c r="A22" t="s">
        <v>158</v>
      </c>
      <c r="C22" s="31">
        <f>'8.2'!C22</f>
        <v>5642</v>
      </c>
      <c r="D22" s="279">
        <f>'8.2'!F22</f>
        <v>2.3029999999999999</v>
      </c>
      <c r="E22" s="31">
        <f t="shared" si="0"/>
        <v>12994</v>
      </c>
      <c r="L22" s="2"/>
    </row>
    <row r="23" spans="1:12" x14ac:dyDescent="0.2">
      <c r="A23" t="s">
        <v>159</v>
      </c>
      <c r="B23" s="22"/>
      <c r="C23" s="31">
        <f>'8.2'!C23</f>
        <v>185682</v>
      </c>
      <c r="D23" s="279">
        <f>'8.2'!F23</f>
        <v>1.4690000000000001</v>
      </c>
      <c r="E23" s="31">
        <f t="shared" si="0"/>
        <v>272767</v>
      </c>
      <c r="L23" s="2"/>
    </row>
    <row r="24" spans="1:12" x14ac:dyDescent="0.2">
      <c r="A24" t="s">
        <v>160</v>
      </c>
      <c r="B24" s="22"/>
      <c r="C24" s="31">
        <f>'8.2'!C24</f>
        <v>1085936</v>
      </c>
      <c r="D24" s="279">
        <f>'8.2'!F24</f>
        <v>2.8740000000000001</v>
      </c>
      <c r="E24" s="31">
        <f t="shared" si="0"/>
        <v>3120980</v>
      </c>
      <c r="L24" s="2"/>
    </row>
    <row r="25" spans="1:12" x14ac:dyDescent="0.2">
      <c r="A25" t="s">
        <v>161</v>
      </c>
      <c r="B25" s="22"/>
      <c r="C25" s="31">
        <f>'8.2'!C25</f>
        <v>10223620</v>
      </c>
      <c r="D25" s="279">
        <f>'8.2'!F25</f>
        <v>2.1120000000000001</v>
      </c>
      <c r="E25" s="31">
        <f t="shared" si="0"/>
        <v>21592285</v>
      </c>
      <c r="L25" s="2"/>
    </row>
    <row r="26" spans="1:12" x14ac:dyDescent="0.2">
      <c r="A26" t="s">
        <v>162</v>
      </c>
      <c r="C26" s="31">
        <f>'8.2'!C26</f>
        <v>74314</v>
      </c>
      <c r="D26" s="279">
        <f>'8.2'!F26</f>
        <v>2.3780000000000001</v>
      </c>
      <c r="E26" s="31">
        <f t="shared" si="0"/>
        <v>176719</v>
      </c>
      <c r="L26" s="2"/>
    </row>
    <row r="27" spans="1:12" x14ac:dyDescent="0.2">
      <c r="A27" t="s">
        <v>163</v>
      </c>
      <c r="C27" s="31">
        <f>'8.2'!C27</f>
        <v>1622088</v>
      </c>
      <c r="D27" s="279">
        <f>'8.2'!F27</f>
        <v>1.9950000000000001</v>
      </c>
      <c r="E27" s="31">
        <f t="shared" si="0"/>
        <v>3236066</v>
      </c>
      <c r="L27" s="2"/>
    </row>
    <row r="28" spans="1:12" x14ac:dyDescent="0.2">
      <c r="A28" t="s">
        <v>164</v>
      </c>
      <c r="C28" s="31">
        <f>'8.2'!C28</f>
        <v>76748</v>
      </c>
      <c r="D28" s="279">
        <f>'8.2'!F28</f>
        <v>2.8820000000000001</v>
      </c>
      <c r="E28" s="31">
        <f t="shared" si="0"/>
        <v>221188</v>
      </c>
      <c r="L28" s="2"/>
    </row>
    <row r="29" spans="1:12" s="60" customFormat="1" x14ac:dyDescent="0.2">
      <c r="A29" s="9"/>
      <c r="B29" s="26"/>
      <c r="C29" s="32"/>
      <c r="D29" s="280"/>
      <c r="E29" s="32"/>
      <c r="L29" s="2"/>
    </row>
    <row r="30" spans="1:12" x14ac:dyDescent="0.2">
      <c r="C30" s="19"/>
      <c r="D30" s="281"/>
      <c r="E30" s="12"/>
      <c r="L30" s="2"/>
    </row>
    <row r="31" spans="1:12" x14ac:dyDescent="0.2">
      <c r="A31" t="s">
        <v>9</v>
      </c>
      <c r="C31" s="31">
        <f>SUM(C14:C28)</f>
        <v>54712425</v>
      </c>
      <c r="D31" s="279">
        <f>E31/C31</f>
        <v>2.4664029422932727</v>
      </c>
      <c r="E31" s="31">
        <f>SUM(E14:E28)</f>
        <v>134942886</v>
      </c>
      <c r="L31" s="2"/>
    </row>
    <row r="32" spans="1:12" x14ac:dyDescent="0.2">
      <c r="L32" s="2"/>
    </row>
    <row r="33" spans="1:13" x14ac:dyDescent="0.2">
      <c r="A33" s="56" t="s">
        <v>120</v>
      </c>
      <c r="B33" t="str">
        <f>'7.1'!B33</f>
        <v>Inforce-Premium as of 11/30/19 at Present Rates</v>
      </c>
      <c r="E33" s="31">
        <f>'7.1'!E33</f>
        <v>312674278</v>
      </c>
      <c r="L33" s="2"/>
      <c r="M33" s="69">
        <f>'7.1'!$M$33</f>
        <v>43830</v>
      </c>
    </row>
    <row r="34" spans="1:13" x14ac:dyDescent="0.2">
      <c r="A34" s="56" t="s">
        <v>124</v>
      </c>
      <c r="B34" t="s">
        <v>149</v>
      </c>
      <c r="E34" s="20">
        <f>ROUND(E31/E33,3)</f>
        <v>0.432</v>
      </c>
      <c r="F34" s="45"/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"&amp;'8.2'!$K$1&amp;", "&amp;'8.2'!$K$2</f>
        <v>(3) Exhibit 8, Sheet 2</v>
      </c>
      <c r="L39" s="2"/>
    </row>
    <row r="40" spans="1:13" x14ac:dyDescent="0.2">
      <c r="B40" s="22" t="str">
        <f>E12&amp;" = "&amp;C12&amp;" * "&amp;D12</f>
        <v>(4) = (2) * (3)</v>
      </c>
      <c r="F40" s="61"/>
      <c r="G40" s="23"/>
      <c r="L40" s="2"/>
    </row>
    <row r="41" spans="1:13" x14ac:dyDescent="0.2">
      <c r="B41" s="22" t="str">
        <f>A33&amp;" "&amp;" Provided by TWIA"</f>
        <v>(5)  Provided by TWIA</v>
      </c>
      <c r="L41" s="2"/>
    </row>
    <row r="42" spans="1:13" x14ac:dyDescent="0.2">
      <c r="B42" s="22" t="str">
        <f>A34&amp;" = "&amp;E12&amp;" Total / "&amp;A33&amp;""</f>
        <v>(6) = (4) Total / (5)</v>
      </c>
      <c r="L42" s="2"/>
    </row>
    <row r="43" spans="1:13" s="60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60" customFormat="1" x14ac:dyDescent="0.2">
      <c r="A51"/>
      <c r="B51"/>
      <c r="C51"/>
      <c r="D51"/>
      <c r="E51"/>
      <c r="L51" s="2"/>
    </row>
    <row r="52" spans="1:12" s="60" customFormat="1" x14ac:dyDescent="0.2">
      <c r="L52" s="2"/>
    </row>
    <row r="53" spans="1:12" s="60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0" customFormat="1" x14ac:dyDescent="0.2">
      <c r="L54" s="2"/>
    </row>
    <row r="55" spans="1:12" s="60" customFormat="1" x14ac:dyDescent="0.2">
      <c r="A55" s="66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0" customFormat="1" x14ac:dyDescent="0.2">
      <c r="A56" s="66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0" customFormat="1" x14ac:dyDescent="0.2">
      <c r="A57" s="66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0" customFormat="1" x14ac:dyDescent="0.2">
      <c r="A58" s="66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0" customFormat="1" x14ac:dyDescent="0.2">
      <c r="A59" s="66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0" customFormat="1" x14ac:dyDescent="0.2">
      <c r="A60" s="66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0" customFormat="1" x14ac:dyDescent="0.2">
      <c r="A61" s="66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0" customFormat="1" x14ac:dyDescent="0.2">
      <c r="A62" s="66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0" customFormat="1" x14ac:dyDescent="0.2">
      <c r="A63" s="66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1"/>
      <c r="D64" s="61"/>
      <c r="E64" s="61"/>
      <c r="F64" s="61"/>
      <c r="G64" s="23"/>
      <c r="L64" s="2"/>
    </row>
    <row r="65" spans="1:12" x14ac:dyDescent="0.2">
      <c r="B65" s="25"/>
      <c r="C65" s="61"/>
      <c r="D65" s="61"/>
      <c r="E65" s="61"/>
      <c r="F65" s="61"/>
      <c r="G65" s="23"/>
      <c r="L65" s="2"/>
    </row>
    <row r="66" spans="1:12" x14ac:dyDescent="0.2">
      <c r="B66" s="25"/>
      <c r="C66" s="61"/>
      <c r="D66" s="61"/>
      <c r="E66" s="61"/>
      <c r="F66" s="61"/>
      <c r="G66" s="23"/>
      <c r="L66" s="2"/>
    </row>
    <row r="67" spans="1:12" x14ac:dyDescent="0.2">
      <c r="B67" s="25"/>
      <c r="C67" s="61"/>
      <c r="D67" s="61"/>
      <c r="E67" s="61"/>
      <c r="F67" s="61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>
    <tabColor rgb="FF92D050"/>
  </sheetPr>
  <dimension ref="A1:P71"/>
  <sheetViews>
    <sheetView showGridLines="0" workbookViewId="0">
      <selection activeCell="P25" sqref="P25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4" max="14" width="12.1640625" customWidth="1"/>
    <col min="16" max="16" width="14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168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173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52" t="s">
        <v>143</v>
      </c>
      <c r="D9" t="s">
        <v>71</v>
      </c>
      <c r="L9" s="2"/>
      <c r="M9" s="27"/>
    </row>
    <row r="10" spans="1:13" x14ac:dyDescent="0.2">
      <c r="C10" t="s">
        <v>144</v>
      </c>
      <c r="D10" t="s">
        <v>166</v>
      </c>
      <c r="E10" t="s">
        <v>323</v>
      </c>
      <c r="F10" t="s">
        <v>145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11/30/19</v>
      </c>
      <c r="D11" s="9" t="s">
        <v>167</v>
      </c>
      <c r="E11" s="9" t="s">
        <v>324</v>
      </c>
      <c r="F11" s="9" t="s">
        <v>146</v>
      </c>
      <c r="L11" s="2"/>
      <c r="M11" s="85">
        <f>'[3]Hurr Models'!$C$1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150</v>
      </c>
      <c r="C14" s="82">
        <f>ROUND('[3]Hurr Models'!$F5/1000,0)</f>
        <v>1560360</v>
      </c>
      <c r="D14" s="82">
        <f>'[3]Hurr Models'!$L5</f>
        <v>3705012.9335731762</v>
      </c>
      <c r="E14" s="39">
        <f t="shared" ref="E14:E28" si="0">(1+$M$37*0.1)</f>
        <v>1.018</v>
      </c>
      <c r="F14" s="39">
        <f>ROUND(D14/C14*E14,3)</f>
        <v>2.4169999999999998</v>
      </c>
      <c r="L14" s="2"/>
      <c r="M14" s="43"/>
    </row>
    <row r="15" spans="1:13" x14ac:dyDescent="0.2">
      <c r="A15" t="s">
        <v>151</v>
      </c>
      <c r="C15" s="82">
        <f>ROUND('[3]Hurr Models'!$F6/1000,0)</f>
        <v>9623822</v>
      </c>
      <c r="D15" s="82">
        <f>'[3]Hurr Models'!$L6</f>
        <v>16568400.233137269</v>
      </c>
      <c r="E15" s="39">
        <f t="shared" si="0"/>
        <v>1.018</v>
      </c>
      <c r="F15" s="39">
        <f t="shared" ref="F15:F31" si="1">ROUND(D15/C15*E15,3)</f>
        <v>1.7529999999999999</v>
      </c>
      <c r="L15" s="2"/>
      <c r="M15" s="43"/>
    </row>
    <row r="16" spans="1:13" x14ac:dyDescent="0.2">
      <c r="A16" t="s">
        <v>152</v>
      </c>
      <c r="C16" s="82">
        <f>ROUND('[3]Hurr Models'!$F7/1000,0)</f>
        <v>884611</v>
      </c>
      <c r="D16" s="82">
        <f>'[3]Hurr Models'!$L7</f>
        <v>3148798.571375967</v>
      </c>
      <c r="E16" s="39">
        <f t="shared" si="0"/>
        <v>1.018</v>
      </c>
      <c r="F16" s="39">
        <f t="shared" si="1"/>
        <v>3.6240000000000001</v>
      </c>
      <c r="L16" s="2"/>
      <c r="M16" s="43"/>
    </row>
    <row r="17" spans="1:15" x14ac:dyDescent="0.2">
      <c r="A17" t="s">
        <v>153</v>
      </c>
      <c r="C17" s="82">
        <f>ROUND('[3]Hurr Models'!$F8/1000,0)</f>
        <v>2184121</v>
      </c>
      <c r="D17" s="82">
        <f>'[3]Hurr Models'!$L8</f>
        <v>4478722.3169177016</v>
      </c>
      <c r="E17" s="39">
        <f t="shared" si="0"/>
        <v>1.018</v>
      </c>
      <c r="F17" s="39">
        <f t="shared" si="1"/>
        <v>2.0870000000000002</v>
      </c>
      <c r="L17" s="2"/>
      <c r="M17" s="43"/>
    </row>
    <row r="18" spans="1:15" x14ac:dyDescent="0.2">
      <c r="A18" t="s">
        <v>154</v>
      </c>
      <c r="C18" s="82">
        <f>ROUND('[3]Hurr Models'!$F9/1000,0)</f>
        <v>1407119</v>
      </c>
      <c r="D18" s="82">
        <f>'[3]Hurr Models'!$L9</f>
        <v>2314526.7725804718</v>
      </c>
      <c r="E18" s="39">
        <f t="shared" si="0"/>
        <v>1.018</v>
      </c>
      <c r="F18" s="39">
        <f t="shared" si="1"/>
        <v>1.6739999999999999</v>
      </c>
      <c r="L18" s="2"/>
      <c r="M18" s="43"/>
    </row>
    <row r="19" spans="1:15" x14ac:dyDescent="0.2">
      <c r="A19" t="s">
        <v>155</v>
      </c>
      <c r="C19" s="82">
        <f>ROUND('[3]Hurr Models'!$F10/1000,0)</f>
        <v>18526442</v>
      </c>
      <c r="D19" s="82">
        <f>'[3]Hurr Models'!$L10</f>
        <v>59618674.820189536</v>
      </c>
      <c r="E19" s="39">
        <f t="shared" si="0"/>
        <v>1.018</v>
      </c>
      <c r="F19" s="39">
        <f>ROUND(D19/C19*E19,3)</f>
        <v>3.2759999999999998</v>
      </c>
      <c r="L19" s="2"/>
      <c r="M19" s="43"/>
    </row>
    <row r="20" spans="1:15" x14ac:dyDescent="0.2">
      <c r="A20" t="s">
        <v>156</v>
      </c>
      <c r="C20" s="82">
        <f>ROUND('[3]Hurr Models'!$F11/1000,0)</f>
        <v>1104156</v>
      </c>
      <c r="D20" s="82">
        <f>'[3]Hurr Models'!$L11</f>
        <v>3166743.7562099621</v>
      </c>
      <c r="E20" s="39">
        <f t="shared" si="0"/>
        <v>1.018</v>
      </c>
      <c r="F20" s="39">
        <f t="shared" si="1"/>
        <v>2.92</v>
      </c>
      <c r="L20" s="2"/>
      <c r="M20" s="43"/>
    </row>
    <row r="21" spans="1:15" x14ac:dyDescent="0.2">
      <c r="A21" t="s">
        <v>157</v>
      </c>
      <c r="C21" s="82">
        <f>ROUND('[3]Hurr Models'!$F12/1000,0)</f>
        <v>6147764</v>
      </c>
      <c r="D21" s="82">
        <f>'[3]Hurr Models'!$L12</f>
        <v>11425894.557952307</v>
      </c>
      <c r="E21" s="39">
        <f t="shared" si="0"/>
        <v>1.018</v>
      </c>
      <c r="F21" s="39">
        <f t="shared" si="1"/>
        <v>1.8919999999999999</v>
      </c>
      <c r="L21" s="2"/>
      <c r="M21" s="43"/>
    </row>
    <row r="22" spans="1:15" x14ac:dyDescent="0.2">
      <c r="A22" t="s">
        <v>158</v>
      </c>
      <c r="C22" s="82">
        <f>ROUND('[3]Hurr Models'!$F13/1000,0)</f>
        <v>5642</v>
      </c>
      <c r="D22" s="82">
        <f>'[3]Hurr Models'!$L13</f>
        <v>12762.270635381006</v>
      </c>
      <c r="E22" s="39">
        <f t="shared" si="0"/>
        <v>1.018</v>
      </c>
      <c r="F22" s="39">
        <f t="shared" si="1"/>
        <v>2.3029999999999999</v>
      </c>
      <c r="L22" s="2"/>
      <c r="M22" s="43"/>
    </row>
    <row r="23" spans="1:15" x14ac:dyDescent="0.2">
      <c r="A23" t="s">
        <v>159</v>
      </c>
      <c r="B23" s="22"/>
      <c r="C23" s="82">
        <f>ROUND('[3]Hurr Models'!$F14/1000,0)</f>
        <v>185682</v>
      </c>
      <c r="D23" s="82">
        <f>'[3]Hurr Models'!$L14</f>
        <v>267952.20597839757</v>
      </c>
      <c r="E23" s="39">
        <f t="shared" si="0"/>
        <v>1.018</v>
      </c>
      <c r="F23" s="39">
        <f t="shared" si="1"/>
        <v>1.4690000000000001</v>
      </c>
      <c r="L23" s="2"/>
      <c r="M23" s="43"/>
    </row>
    <row r="24" spans="1:15" x14ac:dyDescent="0.2">
      <c r="A24" t="s">
        <v>160</v>
      </c>
      <c r="B24" s="22"/>
      <c r="C24" s="82">
        <f>ROUND('[3]Hurr Models'!$F15/1000,0)</f>
        <v>1085936</v>
      </c>
      <c r="D24" s="82">
        <f>'[3]Hurr Models'!$L15</f>
        <v>3066293.4230033671</v>
      </c>
      <c r="E24" s="39">
        <f t="shared" si="0"/>
        <v>1.018</v>
      </c>
      <c r="F24" s="39">
        <f t="shared" si="1"/>
        <v>2.8740000000000001</v>
      </c>
      <c r="L24" s="2"/>
      <c r="M24" s="43"/>
    </row>
    <row r="25" spans="1:15" x14ac:dyDescent="0.2">
      <c r="A25" t="s">
        <v>161</v>
      </c>
      <c r="B25" s="22"/>
      <c r="C25" s="82">
        <f>ROUND('[3]Hurr Models'!$F16/1000,0)</f>
        <v>10223620</v>
      </c>
      <c r="D25" s="82">
        <f>'[3]Hurr Models'!$L16</f>
        <v>21208047.291294284</v>
      </c>
      <c r="E25" s="39">
        <f t="shared" si="0"/>
        <v>1.018</v>
      </c>
      <c r="F25" s="39">
        <f t="shared" si="1"/>
        <v>2.1120000000000001</v>
      </c>
      <c r="L25" s="2"/>
      <c r="M25" s="43"/>
    </row>
    <row r="26" spans="1:15" x14ac:dyDescent="0.2">
      <c r="A26" t="s">
        <v>162</v>
      </c>
      <c r="C26" s="82">
        <f>ROUND('[3]Hurr Models'!$F17/1000,0)</f>
        <v>74314</v>
      </c>
      <c r="D26" s="82">
        <f>'[3]Hurr Models'!$L17</f>
        <v>173582.14029182095</v>
      </c>
      <c r="E26" s="39">
        <f t="shared" si="0"/>
        <v>1.018</v>
      </c>
      <c r="F26" s="39">
        <f t="shared" si="1"/>
        <v>2.3780000000000001</v>
      </c>
      <c r="L26" s="2"/>
      <c r="M26" s="43"/>
    </row>
    <row r="27" spans="1:15" x14ac:dyDescent="0.2">
      <c r="A27" t="s">
        <v>163</v>
      </c>
      <c r="C27" s="82">
        <f>ROUND('[3]Hurr Models'!$F18/1000,0)</f>
        <v>1622088</v>
      </c>
      <c r="D27" s="82">
        <f>'[3]Hurr Models'!$L18</f>
        <v>3179005.4934524228</v>
      </c>
      <c r="E27" s="39">
        <f t="shared" si="0"/>
        <v>1.018</v>
      </c>
      <c r="F27" s="39">
        <f t="shared" si="1"/>
        <v>1.9950000000000001</v>
      </c>
      <c r="L27" s="2"/>
      <c r="M27" s="43"/>
    </row>
    <row r="28" spans="1:15" x14ac:dyDescent="0.2">
      <c r="A28" t="s">
        <v>164</v>
      </c>
      <c r="C28" s="82">
        <f>ROUND('[3]Hurr Models'!$F19/1000,0)</f>
        <v>76748</v>
      </c>
      <c r="D28" s="82">
        <f>'[3]Hurr Models'!$L19</f>
        <v>217297.69979318854</v>
      </c>
      <c r="E28" s="39">
        <f t="shared" si="0"/>
        <v>1.018</v>
      </c>
      <c r="F28" s="39">
        <f t="shared" si="1"/>
        <v>2.8820000000000001</v>
      </c>
      <c r="L28" s="2"/>
      <c r="M28" s="43"/>
    </row>
    <row r="29" spans="1:15" x14ac:dyDescent="0.2">
      <c r="A29" s="9"/>
      <c r="B29" s="26"/>
      <c r="C29" s="83"/>
      <c r="D29" s="83"/>
      <c r="E29" s="40"/>
      <c r="F29" s="40"/>
      <c r="G29" s="45"/>
      <c r="H29" s="45"/>
      <c r="I29" s="45"/>
      <c r="J29" s="45"/>
      <c r="K29" s="60"/>
      <c r="L29" s="2"/>
    </row>
    <row r="30" spans="1:15" x14ac:dyDescent="0.2">
      <c r="C30" s="19"/>
      <c r="D30" s="19"/>
      <c r="E30" s="12"/>
      <c r="F30" s="12"/>
      <c r="L30" s="2"/>
      <c r="M30" t="s">
        <v>357</v>
      </c>
      <c r="N30" s="19">
        <v>306282.30474665051</v>
      </c>
      <c r="O30" s="19">
        <v>143672137.08989903</v>
      </c>
    </row>
    <row r="31" spans="1:15" x14ac:dyDescent="0.2">
      <c r="A31" t="s">
        <v>9</v>
      </c>
      <c r="C31" s="31">
        <f>SUM(C14:C28)</f>
        <v>54712425</v>
      </c>
      <c r="D31" s="31">
        <f>SUM(D14:D28)</f>
        <v>132551714.48638524</v>
      </c>
      <c r="E31" s="39">
        <f>(1+$M$37*0.1)</f>
        <v>1.018</v>
      </c>
      <c r="F31" s="39">
        <f t="shared" si="1"/>
        <v>2.4660000000000002</v>
      </c>
      <c r="L31" s="2"/>
      <c r="N31" s="19">
        <f>N30+O30</f>
        <v>143978419.39464569</v>
      </c>
      <c r="O31" s="19"/>
    </row>
    <row r="32" spans="1:15" ht="12" thickBot="1" x14ac:dyDescent="0.25">
      <c r="A32" s="6"/>
      <c r="B32" s="6"/>
      <c r="C32" s="6"/>
      <c r="D32" s="6"/>
      <c r="E32" s="6"/>
      <c r="F32" s="6"/>
      <c r="L32" s="2"/>
      <c r="N32">
        <f>N31/D31</f>
        <v>1.0862056364381021</v>
      </c>
    </row>
    <row r="33" spans="1:16" ht="12" thickTop="1" x14ac:dyDescent="0.2">
      <c r="L33" s="2"/>
    </row>
    <row r="34" spans="1:16" x14ac:dyDescent="0.2">
      <c r="A34" t="s">
        <v>17</v>
      </c>
      <c r="L34" s="2"/>
      <c r="N34" s="319"/>
      <c r="O34" s="319"/>
      <c r="P34" s="319"/>
    </row>
    <row r="35" spans="1:16" x14ac:dyDescent="0.2">
      <c r="B35" s="22" t="str">
        <f>C12&amp;" Provided by TWIA and Geo-coded by RMS"</f>
        <v>(2) Provided by TWIA and Geo-coded by RMS</v>
      </c>
      <c r="L35" s="2"/>
    </row>
    <row r="36" spans="1:16" x14ac:dyDescent="0.2">
      <c r="B36" s="22" t="str">
        <f>D12&amp;" Provided by RMS"</f>
        <v>(3) Provided by RMS</v>
      </c>
      <c r="L36" s="2"/>
    </row>
    <row r="37" spans="1:16" x14ac:dyDescent="0.2">
      <c r="B37" s="22" t="str">
        <f>E12&amp;" = 10% of modeled storm surge increase, estimated to be "&amp;TEXT($M$37,"0.0%")</f>
        <v>(4) = 10% of modeled storm surge increase, estimated to be 18.0%</v>
      </c>
      <c r="F37" s="61"/>
      <c r="G37" s="23"/>
      <c r="H37" s="23"/>
      <c r="I37" s="23"/>
      <c r="L37" s="2"/>
      <c r="M37" s="318">
        <v>0.18</v>
      </c>
      <c r="N37" t="s">
        <v>326</v>
      </c>
    </row>
    <row r="38" spans="1:16" x14ac:dyDescent="0.2">
      <c r="B38" s="22" t="str">
        <f>F12&amp;" = "&amp;D12&amp;" / "&amp;C12&amp;" * "&amp;E12</f>
        <v>(5) = (3) / (2) * (4)</v>
      </c>
      <c r="L38" s="2"/>
    </row>
    <row r="39" spans="1:16" x14ac:dyDescent="0.2">
      <c r="L39" s="2"/>
    </row>
    <row r="40" spans="1:16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2"/>
    </row>
    <row r="41" spans="1:16" x14ac:dyDescent="0.2">
      <c r="L41" s="2"/>
    </row>
    <row r="42" spans="1:16" s="60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6" s="60" customFormat="1" x14ac:dyDescent="0.2">
      <c r="A43"/>
      <c r="B43"/>
      <c r="C43"/>
      <c r="D43"/>
      <c r="E43"/>
      <c r="F43" s="45"/>
      <c r="G43"/>
      <c r="H43"/>
      <c r="I43"/>
      <c r="J43"/>
      <c r="K43"/>
      <c r="L43" s="2"/>
    </row>
    <row r="44" spans="1:16" x14ac:dyDescent="0.2">
      <c r="L44" s="2"/>
    </row>
    <row r="45" spans="1:16" x14ac:dyDescent="0.2">
      <c r="L45" s="2"/>
    </row>
    <row r="46" spans="1:16" x14ac:dyDescent="0.2">
      <c r="L46" s="2"/>
    </row>
    <row r="47" spans="1:16" x14ac:dyDescent="0.2">
      <c r="L47" s="2"/>
    </row>
    <row r="48" spans="1:16" x14ac:dyDescent="0.2">
      <c r="L48" s="2"/>
    </row>
    <row r="49" spans="1:12" x14ac:dyDescent="0.2">
      <c r="L49" s="2"/>
    </row>
    <row r="50" spans="1:12" x14ac:dyDescent="0.2">
      <c r="L50" s="2"/>
    </row>
    <row r="51" spans="1:12" s="60" customFormat="1" x14ac:dyDescent="0.2">
      <c r="A51"/>
      <c r="B51"/>
      <c r="C51"/>
      <c r="D51"/>
      <c r="E51"/>
      <c r="L51" s="2"/>
    </row>
    <row r="52" spans="1:12" s="60" customFormat="1" x14ac:dyDescent="0.2">
      <c r="L52" s="2"/>
    </row>
    <row r="53" spans="1:12" s="60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0" customFormat="1" x14ac:dyDescent="0.2">
      <c r="L54" s="2"/>
    </row>
    <row r="55" spans="1:12" s="60" customFormat="1" x14ac:dyDescent="0.2">
      <c r="A55" s="66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0" customFormat="1" x14ac:dyDescent="0.2">
      <c r="A56" s="66"/>
      <c r="C56" s="29"/>
      <c r="D56" s="29"/>
      <c r="E56" s="29"/>
      <c r="F56" s="29"/>
      <c r="G56" s="29"/>
      <c r="H56" s="29"/>
      <c r="I56" s="29"/>
      <c r="J56" s="29"/>
      <c r="L56" s="2"/>
    </row>
    <row r="57" spans="1:12" s="60" customFormat="1" x14ac:dyDescent="0.2">
      <c r="A57" s="66"/>
      <c r="C57" s="29"/>
      <c r="D57" s="29"/>
      <c r="E57" s="29"/>
      <c r="F57" s="29"/>
      <c r="G57" s="29"/>
      <c r="H57" s="29"/>
      <c r="I57" s="29"/>
      <c r="J57" s="29"/>
      <c r="L57" s="2"/>
    </row>
    <row r="58" spans="1:12" s="60" customFormat="1" x14ac:dyDescent="0.2">
      <c r="A58" s="66"/>
      <c r="C58" s="29"/>
      <c r="D58" s="29"/>
      <c r="E58" s="29"/>
      <c r="F58" s="29"/>
      <c r="G58" s="29"/>
      <c r="H58" s="29"/>
      <c r="I58" s="29"/>
      <c r="J58" s="29"/>
      <c r="L58" s="2"/>
    </row>
    <row r="59" spans="1:12" s="60" customFormat="1" x14ac:dyDescent="0.2">
      <c r="A59" s="66"/>
      <c r="C59" s="29"/>
      <c r="D59" s="29"/>
      <c r="E59" s="29"/>
      <c r="F59" s="29"/>
      <c r="G59" s="29"/>
      <c r="H59" s="29"/>
      <c r="I59" s="29"/>
      <c r="J59" s="29"/>
      <c r="L59" s="2"/>
    </row>
    <row r="60" spans="1:12" s="60" customFormat="1" x14ac:dyDescent="0.2">
      <c r="A60" s="66"/>
      <c r="C60" s="29"/>
      <c r="D60" s="29"/>
      <c r="E60" s="29"/>
      <c r="F60" s="29"/>
      <c r="G60" s="29"/>
      <c r="H60" s="29"/>
      <c r="I60" s="29"/>
      <c r="J60" s="29"/>
      <c r="L60" s="2"/>
    </row>
    <row r="61" spans="1:12" s="60" customFormat="1" x14ac:dyDescent="0.2">
      <c r="A61" s="66"/>
      <c r="C61" s="29"/>
      <c r="D61" s="29"/>
      <c r="E61" s="29"/>
      <c r="F61" s="29"/>
      <c r="G61" s="29"/>
      <c r="H61" s="29"/>
      <c r="I61" s="29"/>
      <c r="J61" s="29"/>
      <c r="L61" s="2"/>
    </row>
    <row r="62" spans="1:12" s="60" customFormat="1" x14ac:dyDescent="0.2">
      <c r="A62" s="66"/>
      <c r="C62" s="29"/>
      <c r="D62" s="29"/>
      <c r="E62" s="29"/>
      <c r="F62" s="29"/>
      <c r="G62" s="29"/>
      <c r="H62" s="29"/>
      <c r="I62" s="29"/>
      <c r="J62" s="29"/>
      <c r="L62" s="2"/>
    </row>
    <row r="63" spans="1:12" x14ac:dyDescent="0.2">
      <c r="B63" s="25"/>
      <c r="C63" s="61"/>
      <c r="D63" s="61"/>
      <c r="E63" s="61"/>
      <c r="F63" s="61"/>
      <c r="G63" s="23"/>
      <c r="H63" s="23"/>
      <c r="I63" s="23"/>
      <c r="L63" s="2"/>
    </row>
    <row r="64" spans="1:12" x14ac:dyDescent="0.2">
      <c r="B64" s="25"/>
      <c r="C64" s="61"/>
      <c r="D64" s="61"/>
      <c r="E64" s="61"/>
      <c r="F64" s="61"/>
      <c r="G64" s="23"/>
      <c r="H64" s="23"/>
      <c r="I64" s="23"/>
      <c r="L64" s="2"/>
    </row>
    <row r="65" spans="1:12" x14ac:dyDescent="0.2">
      <c r="B65" s="25"/>
      <c r="C65" s="61"/>
      <c r="D65" s="61"/>
      <c r="E65" s="61"/>
      <c r="F65" s="61"/>
      <c r="G65" s="23"/>
      <c r="H65" s="23"/>
      <c r="I65" s="23"/>
      <c r="L65" s="2"/>
    </row>
    <row r="66" spans="1:12" x14ac:dyDescent="0.2">
      <c r="B66" s="25"/>
      <c r="C66" s="61"/>
      <c r="D66" s="61"/>
      <c r="E66" s="61"/>
      <c r="F66" s="61"/>
      <c r="G66" s="23"/>
      <c r="H66" s="23"/>
      <c r="I66" s="23"/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  <row r="71" spans="1:12" x14ac:dyDescent="0.2">
      <c r="A71" t="s">
        <v>332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tabColor rgb="FF92D050"/>
  </sheetPr>
  <dimension ref="A1:M69"/>
  <sheetViews>
    <sheetView showGridLines="0" workbookViewId="0">
      <selection activeCell="I47" sqref="I47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3" x14ac:dyDescent="0.2">
      <c r="A1" s="8" t="str">
        <f>'1'!$A$1</f>
        <v>Texas Windstorm Insurance Association</v>
      </c>
      <c r="J1" s="7" t="s">
        <v>171</v>
      </c>
      <c r="K1" s="1"/>
    </row>
    <row r="2" spans="1:13" x14ac:dyDescent="0.2">
      <c r="A2" s="8" t="str">
        <f>'1'!$A$2</f>
        <v>Residential Property - Wind &amp; Hail</v>
      </c>
      <c r="J2" s="7"/>
      <c r="K2" s="2"/>
    </row>
    <row r="3" spans="1:13" x14ac:dyDescent="0.2">
      <c r="A3" s="8" t="str">
        <f>'1'!$A$3</f>
        <v>Rate Level Review</v>
      </c>
      <c r="K3" s="2"/>
      <c r="L3" t="s">
        <v>115</v>
      </c>
      <c r="M3" t="s">
        <v>116</v>
      </c>
    </row>
    <row r="4" spans="1:13" x14ac:dyDescent="0.2">
      <c r="A4" t="str">
        <f>"Texas Hurricanes "&amp;L4&amp;" - "&amp;YEAR(M4)</f>
        <v>Texas Hurricanes 1850 - 2019</v>
      </c>
      <c r="K4" s="2"/>
      <c r="L4" s="27">
        <v>1850</v>
      </c>
      <c r="M4" s="91">
        <v>43830</v>
      </c>
    </row>
    <row r="5" spans="1:13" x14ac:dyDescent="0.2">
      <c r="K5" s="2"/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K7" s="2"/>
    </row>
    <row r="8" spans="1:13" ht="12" thickTop="1" x14ac:dyDescent="0.2">
      <c r="K8" s="2"/>
    </row>
    <row r="9" spans="1:13" x14ac:dyDescent="0.2">
      <c r="B9" s="52"/>
      <c r="K9" s="2"/>
      <c r="L9" s="27"/>
    </row>
    <row r="10" spans="1:13" x14ac:dyDescent="0.2">
      <c r="A10" s="10" t="s">
        <v>295</v>
      </c>
      <c r="E10" s="10" t="s">
        <v>295</v>
      </c>
      <c r="K10" s="2"/>
    </row>
    <row r="11" spans="1:13" x14ac:dyDescent="0.2">
      <c r="A11" s="9" t="s">
        <v>54</v>
      </c>
      <c r="B11" s="9" t="s">
        <v>296</v>
      </c>
      <c r="C11" s="9" t="s">
        <v>175</v>
      </c>
      <c r="E11" s="9" t="s">
        <v>54</v>
      </c>
      <c r="F11" s="9" t="s">
        <v>296</v>
      </c>
      <c r="G11" s="9" t="s">
        <v>175</v>
      </c>
      <c r="K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3" x14ac:dyDescent="0.2">
      <c r="K13" s="2"/>
    </row>
    <row r="14" spans="1:13" x14ac:dyDescent="0.2">
      <c r="A14" s="122">
        <f>IF(LEN('[7]9'!A14),'[7]9'!A14,"")</f>
        <v>1851</v>
      </c>
      <c r="B14" s="122" t="str">
        <f>IF(LEN('[7]9'!B14),'[7]9'!B14,"")</f>
        <v>Jun</v>
      </c>
      <c r="C14" s="122" t="str">
        <f>IF(LEN('[7]9'!C14),'[7]9'!C14,"")</f>
        <v/>
      </c>
      <c r="E14" s="122">
        <f>IF(LEN('[7]9'!E14),'[7]9'!E14,"")</f>
        <v>1929</v>
      </c>
      <c r="F14" s="122" t="str">
        <f>IF(LEN('[7]9'!F14),'[7]9'!F14,"")</f>
        <v>Jun</v>
      </c>
      <c r="G14" s="122" t="str">
        <f>IF(LEN('[7]9'!G14),'[7]9'!G14,"")</f>
        <v/>
      </c>
      <c r="K14" s="2"/>
      <c r="M14" s="69"/>
    </row>
    <row r="15" spans="1:13" x14ac:dyDescent="0.2">
      <c r="A15" s="122">
        <f>IF(LEN('[7]9'!A15),'[7]9'!A15,"")</f>
        <v>1854</v>
      </c>
      <c r="B15" s="122" t="str">
        <f>IF(LEN('[7]9'!B15),'[7]9'!B15,"")</f>
        <v>Jun</v>
      </c>
      <c r="C15" s="122" t="str">
        <f>IF(LEN('[7]9'!C15),'[7]9'!C15,"")</f>
        <v/>
      </c>
      <c r="E15" s="122">
        <f>IF(LEN('[7]9'!E15),'[7]9'!E15,"")</f>
        <v>1932</v>
      </c>
      <c r="F15" s="122" t="str">
        <f>IF(LEN('[7]9'!F15),'[7]9'!F15,"")</f>
        <v>Aug</v>
      </c>
      <c r="G15" s="122" t="str">
        <f>IF(LEN('[7]9'!G15),'[7]9'!G15,"")</f>
        <v>“Freeport”</v>
      </c>
      <c r="K15" s="2"/>
      <c r="M15" s="69"/>
    </row>
    <row r="16" spans="1:13" x14ac:dyDescent="0.2">
      <c r="A16" s="122">
        <f>IF(LEN('[7]9'!A16),'[7]9'!A16,"")</f>
        <v>1854</v>
      </c>
      <c r="B16" s="122" t="str">
        <f>IF(LEN('[7]9'!B16),'[7]9'!B16,"")</f>
        <v>Sep</v>
      </c>
      <c r="C16" s="122" t="str">
        <f>IF(LEN('[7]9'!C16),'[7]9'!C16,"")</f>
        <v>“Matagorda”</v>
      </c>
      <c r="E16" s="122">
        <f>IF(LEN('[7]9'!E16),'[7]9'!E16,"")</f>
        <v>1933</v>
      </c>
      <c r="F16" s="122" t="str">
        <f>IF(LEN('[7]9'!F16),'[7]9'!F16,"")</f>
        <v>Aug</v>
      </c>
      <c r="G16" s="122" t="str">
        <f>IF(LEN('[7]9'!G16),'[7]9'!G16,"")</f>
        <v/>
      </c>
      <c r="K16" s="2"/>
      <c r="M16" s="69"/>
    </row>
    <row r="17" spans="1:13" x14ac:dyDescent="0.2">
      <c r="A17" s="122">
        <f>IF(LEN('[7]9'!A17),'[7]9'!A17,"")</f>
        <v>1865</v>
      </c>
      <c r="B17" s="122" t="str">
        <f>IF(LEN('[7]9'!B17),'[7]9'!B17,"")</f>
        <v>Sep</v>
      </c>
      <c r="C17" s="122" t="str">
        <f>IF(LEN('[7]9'!C17),'[7]9'!C17,"")</f>
        <v>“Sabine River-Lake Calcasieu”</v>
      </c>
      <c r="E17" s="122">
        <f>IF(LEN('[7]9'!E17),'[7]9'!E17,"")</f>
        <v>1933</v>
      </c>
      <c r="F17" s="122" t="str">
        <f>IF(LEN('[7]9'!F17),'[7]9'!F17,"")</f>
        <v>Sep</v>
      </c>
      <c r="G17" s="122" t="str">
        <f>IF(LEN('[7]9'!G17),'[7]9'!G17,"")</f>
        <v/>
      </c>
      <c r="K17" s="2"/>
      <c r="M17" s="69"/>
    </row>
    <row r="18" spans="1:13" x14ac:dyDescent="0.2">
      <c r="A18" s="122">
        <f>IF(LEN('[7]9'!A18),'[7]9'!A18,"")</f>
        <v>1866</v>
      </c>
      <c r="B18" s="122" t="str">
        <f>IF(LEN('[7]9'!B18),'[7]9'!B18,"")</f>
        <v>Jul</v>
      </c>
      <c r="C18" s="122" t="str">
        <f>IF(LEN('[7]9'!C18),'[7]9'!C18,"")</f>
        <v/>
      </c>
      <c r="E18" s="122">
        <f>IF(LEN('[7]9'!E18),'[7]9'!E18,"")</f>
        <v>1934</v>
      </c>
      <c r="F18" s="122" t="str">
        <f>IF(LEN('[7]9'!F18),'[7]9'!F18,"")</f>
        <v>Jul</v>
      </c>
      <c r="G18" s="122" t="str">
        <f>IF(LEN('[7]9'!G18),'[7]9'!G18,"")</f>
        <v/>
      </c>
      <c r="K18" s="2"/>
      <c r="M18" s="69"/>
    </row>
    <row r="19" spans="1:13" x14ac:dyDescent="0.2">
      <c r="A19" s="122">
        <f>IF(LEN('[7]9'!A19),'[7]9'!A19,"")</f>
        <v>1867</v>
      </c>
      <c r="B19" s="122" t="str">
        <f>IF(LEN('[7]9'!B19),'[7]9'!B19,"")</f>
        <v>Oct</v>
      </c>
      <c r="C19" s="122" t="str">
        <f>IF(LEN('[7]9'!C19),'[7]9'!C19,"")</f>
        <v>“Galveston”</v>
      </c>
      <c r="E19" s="122">
        <f>IF(LEN('[7]9'!E19),'[7]9'!E19,"")</f>
        <v>1936</v>
      </c>
      <c r="F19" s="122" t="str">
        <f>IF(LEN('[7]9'!F19),'[7]9'!F19,"")</f>
        <v>Jun</v>
      </c>
      <c r="G19" s="122" t="str">
        <f>IF(LEN('[7]9'!G19),'[7]9'!G19,"")</f>
        <v/>
      </c>
      <c r="K19" s="2"/>
      <c r="M19" s="69"/>
    </row>
    <row r="20" spans="1:13" x14ac:dyDescent="0.2">
      <c r="A20" s="122">
        <f>IF(LEN('[7]9'!A20),'[7]9'!A20,"")</f>
        <v>1869</v>
      </c>
      <c r="B20" s="122" t="str">
        <f>IF(LEN('[7]9'!B20),'[7]9'!B20,"")</f>
        <v>Aug</v>
      </c>
      <c r="C20" s="122" t="str">
        <f>IF(LEN('[7]9'!C20),'[7]9'!C20,"")</f>
        <v>“Lower Texas Coast"</v>
      </c>
      <c r="E20" s="122">
        <f>IF(LEN('[7]9'!E20),'[7]9'!E20,"")</f>
        <v>1940</v>
      </c>
      <c r="F20" s="122" t="str">
        <f>IF(LEN('[7]9'!F20),'[7]9'!F20,"")</f>
        <v>Aug</v>
      </c>
      <c r="G20" s="122" t="str">
        <f>IF(LEN('[7]9'!G20),'[7]9'!G20,"")</f>
        <v/>
      </c>
      <c r="K20" s="2"/>
      <c r="M20" s="69"/>
    </row>
    <row r="21" spans="1:13" x14ac:dyDescent="0.2">
      <c r="A21" s="122">
        <f>IF(LEN('[7]9'!A21),'[7]9'!A21,"")</f>
        <v>1875</v>
      </c>
      <c r="B21" s="122" t="str">
        <f>IF(LEN('[7]9'!B21),'[7]9'!B21,"")</f>
        <v>Sep</v>
      </c>
      <c r="C21" s="122" t="str">
        <f>IF(LEN('[7]9'!C21),'[7]9'!C21,"")</f>
        <v/>
      </c>
      <c r="E21" s="122">
        <f>IF(LEN('[7]9'!E21),'[7]9'!E21,"")</f>
        <v>1941</v>
      </c>
      <c r="F21" s="122" t="str">
        <f>IF(LEN('[7]9'!F21),'[7]9'!F21,"")</f>
        <v>Sep</v>
      </c>
      <c r="G21" s="122" t="str">
        <f>IF(LEN('[7]9'!G21),'[7]9'!G21,"")</f>
        <v/>
      </c>
      <c r="K21" s="2"/>
      <c r="M21" s="69"/>
    </row>
    <row r="22" spans="1:13" x14ac:dyDescent="0.2">
      <c r="A22" s="122">
        <f>IF(LEN('[7]9'!A22),'[7]9'!A22,"")</f>
        <v>1879</v>
      </c>
      <c r="B22" s="122" t="str">
        <f>IF(LEN('[7]9'!B22),'[7]9'!B22,"")</f>
        <v>Aug</v>
      </c>
      <c r="C22" s="122" t="str">
        <f>IF(LEN('[7]9'!C22),'[7]9'!C22,"")</f>
        <v/>
      </c>
      <c r="E22" s="122">
        <f>IF(LEN('[7]9'!E22),'[7]9'!E22,"")</f>
        <v>1942</v>
      </c>
      <c r="F22" s="122" t="str">
        <f>IF(LEN('[7]9'!F22),'[7]9'!F22,"")</f>
        <v>Aug</v>
      </c>
      <c r="G22" s="122" t="str">
        <f>IF(LEN('[7]9'!G22),'[7]9'!G22,"")</f>
        <v/>
      </c>
      <c r="K22" s="2"/>
      <c r="M22" s="69"/>
    </row>
    <row r="23" spans="1:13" x14ac:dyDescent="0.2">
      <c r="A23" s="122">
        <f>IF(LEN('[7]9'!A23),'[7]9'!A23,"")</f>
        <v>1880</v>
      </c>
      <c r="B23" s="122" t="str">
        <f>IF(LEN('[7]9'!B23),'[7]9'!B23,"")</f>
        <v>Aug</v>
      </c>
      <c r="C23" s="122" t="str">
        <f>IF(LEN('[7]9'!C23),'[7]9'!C23,"")</f>
        <v/>
      </c>
      <c r="E23" s="122">
        <f>IF(LEN('[7]9'!E23),'[7]9'!E23,"")</f>
        <v>1942</v>
      </c>
      <c r="F23" s="122" t="str">
        <f>IF(LEN('[7]9'!F23),'[7]9'!F23,"")</f>
        <v>Aug</v>
      </c>
      <c r="G23" s="122" t="str">
        <f>IF(LEN('[7]9'!G23),'[7]9'!G23,"")</f>
        <v/>
      </c>
      <c r="K23" s="2"/>
      <c r="M23" s="69"/>
    </row>
    <row r="24" spans="1:13" x14ac:dyDescent="0.2">
      <c r="A24" s="122">
        <f>IF(LEN('[7]9'!A24),'[7]9'!A24,"")</f>
        <v>1882</v>
      </c>
      <c r="B24" s="122" t="str">
        <f>IF(LEN('[7]9'!B24),'[7]9'!B24,"")</f>
        <v>Sep</v>
      </c>
      <c r="C24" s="122" t="str">
        <f>IF(LEN('[7]9'!C24),'[7]9'!C24,"")</f>
        <v/>
      </c>
      <c r="E24" s="122">
        <f>IF(LEN('[7]9'!E24),'[7]9'!E24,"")</f>
        <v>1943</v>
      </c>
      <c r="F24" s="122" t="str">
        <f>IF(LEN('[7]9'!F24),'[7]9'!F24,"")</f>
        <v>Jul</v>
      </c>
      <c r="G24" s="122" t="str">
        <f>IF(LEN('[7]9'!G24),'[7]9'!G24,"")</f>
        <v/>
      </c>
      <c r="K24" s="2"/>
      <c r="M24" s="69"/>
    </row>
    <row r="25" spans="1:13" x14ac:dyDescent="0.2">
      <c r="A25" s="122">
        <f>IF(LEN('[7]9'!A25),'[7]9'!A25,"")</f>
        <v>1886</v>
      </c>
      <c r="B25" s="122" t="str">
        <f>IF(LEN('[7]9'!B25),'[7]9'!B25,"")</f>
        <v>Jun</v>
      </c>
      <c r="C25" s="122" t="str">
        <f>IF(LEN('[7]9'!C25),'[7]9'!C25,"")</f>
        <v/>
      </c>
      <c r="E25" s="122">
        <f>IF(LEN('[7]9'!E25),'[7]9'!E25,"")</f>
        <v>1945</v>
      </c>
      <c r="F25" s="122" t="str">
        <f>IF(LEN('[7]9'!F25),'[7]9'!F25,"")</f>
        <v>Aug</v>
      </c>
      <c r="G25" s="122" t="str">
        <f>IF(LEN('[7]9'!G25),'[7]9'!G25,"")</f>
        <v/>
      </c>
      <c r="K25" s="2"/>
      <c r="M25" s="69"/>
    </row>
    <row r="26" spans="1:13" x14ac:dyDescent="0.2">
      <c r="A26" s="122">
        <f>IF(LEN('[7]9'!A26),'[7]9'!A26,"")</f>
        <v>1886</v>
      </c>
      <c r="B26" s="122" t="str">
        <f>IF(LEN('[7]9'!B26),'[7]9'!B26,"")</f>
        <v>Aug</v>
      </c>
      <c r="C26" s="122" t="str">
        <f>IF(LEN('[7]9'!C26),'[7]9'!C26,"")</f>
        <v>“Indianola”</v>
      </c>
      <c r="E26" s="122">
        <f>IF(LEN('[7]9'!E26),'[7]9'!E26,"")</f>
        <v>1947</v>
      </c>
      <c r="F26" s="122" t="str">
        <f>IF(LEN('[7]9'!F26),'[7]9'!F26,"")</f>
        <v>Aug</v>
      </c>
      <c r="G26" s="122" t="str">
        <f>IF(LEN('[7]9'!G26),'[7]9'!G26,"")</f>
        <v/>
      </c>
      <c r="K26" s="2"/>
      <c r="M26" s="69"/>
    </row>
    <row r="27" spans="1:13" x14ac:dyDescent="0.2">
      <c r="A27" s="122">
        <f>IF(LEN('[7]9'!A27),'[7]9'!A27,"")</f>
        <v>1886</v>
      </c>
      <c r="B27" s="122" t="str">
        <f>IF(LEN('[7]9'!B27),'[7]9'!B27,"")</f>
        <v>Sep</v>
      </c>
      <c r="C27" s="122" t="str">
        <f>IF(LEN('[7]9'!C27),'[7]9'!C27,"")</f>
        <v/>
      </c>
      <c r="E27" s="122">
        <f>IF(LEN('[7]9'!E27),'[7]9'!E27,"")</f>
        <v>1949</v>
      </c>
      <c r="F27" s="122" t="str">
        <f>IF(LEN('[7]9'!F27),'[7]9'!F27,"")</f>
        <v>Oct</v>
      </c>
      <c r="G27" s="122" t="str">
        <f>IF(LEN('[7]9'!G27),'[7]9'!G27,"")</f>
        <v/>
      </c>
      <c r="K27" s="2"/>
      <c r="M27" s="69"/>
    </row>
    <row r="28" spans="1:13" x14ac:dyDescent="0.2">
      <c r="A28" s="122">
        <f>IF(LEN('[7]9'!A28),'[7]9'!A28,"")</f>
        <v>1886</v>
      </c>
      <c r="B28" s="122" t="str">
        <f>IF(LEN('[7]9'!B28),'[7]9'!B28,"")</f>
        <v>Oct</v>
      </c>
      <c r="C28" s="122" t="str">
        <f>IF(LEN('[7]9'!C28),'[7]9'!C28,"")</f>
        <v/>
      </c>
      <c r="E28" s="122">
        <f>IF(LEN('[7]9'!E28),'[7]9'!E28,"")</f>
        <v>1957</v>
      </c>
      <c r="F28" s="122" t="str">
        <f>IF(LEN('[7]9'!F28),'[7]9'!F28,"")</f>
        <v>Jun</v>
      </c>
      <c r="G28" s="122" t="str">
        <f>IF(LEN('[7]9'!G28),'[7]9'!G28,"")</f>
        <v>Audrey</v>
      </c>
      <c r="K28" s="2"/>
      <c r="M28" s="69"/>
    </row>
    <row r="29" spans="1:13" x14ac:dyDescent="0.2">
      <c r="A29" s="122">
        <f>IF(LEN('[7]9'!A29),'[7]9'!A29,"")</f>
        <v>1887</v>
      </c>
      <c r="B29" s="122" t="str">
        <f>IF(LEN('[7]9'!B29),'[7]9'!B29,"")</f>
        <v>Sep</v>
      </c>
      <c r="C29" s="122" t="str">
        <f>IF(LEN('[7]9'!C29),'[7]9'!C29,"")</f>
        <v/>
      </c>
      <c r="E29" s="122">
        <f>IF(LEN('[7]9'!E29),'[7]9'!E29,"")</f>
        <v>1959</v>
      </c>
      <c r="F29" s="122" t="str">
        <f>IF(LEN('[7]9'!F29),'[7]9'!F29,"")</f>
        <v>Jul</v>
      </c>
      <c r="G29" s="122" t="str">
        <f>IF(LEN('[7]9'!G29),'[7]9'!G29,"")</f>
        <v>Debra</v>
      </c>
      <c r="K29" s="2"/>
      <c r="M29" s="69"/>
    </row>
    <row r="30" spans="1:13" x14ac:dyDescent="0.2">
      <c r="A30" s="122">
        <f>IF(LEN('[7]9'!A30),'[7]9'!A30,"")</f>
        <v>1888</v>
      </c>
      <c r="B30" s="122" t="str">
        <f>IF(LEN('[7]9'!B30),'[7]9'!B30,"")</f>
        <v>Jun</v>
      </c>
      <c r="C30" s="122" t="str">
        <f>IF(LEN('[7]9'!C30),'[7]9'!C30,"")</f>
        <v/>
      </c>
      <c r="E30" s="122">
        <f>IF(LEN('[7]9'!E30),'[7]9'!E30,"")</f>
        <v>1961</v>
      </c>
      <c r="F30" s="122" t="str">
        <f>IF(LEN('[7]9'!F30),'[7]9'!F30,"")</f>
        <v>Sep</v>
      </c>
      <c r="G30" s="122" t="str">
        <f>IF(LEN('[7]9'!G30),'[7]9'!G30,"")</f>
        <v>Carla</v>
      </c>
      <c r="K30" s="2"/>
      <c r="M30" s="69"/>
    </row>
    <row r="31" spans="1:13" x14ac:dyDescent="0.2">
      <c r="A31" s="122">
        <f>IF(LEN('[7]9'!A31),'[7]9'!A31,"")</f>
        <v>1891</v>
      </c>
      <c r="B31" s="122" t="str">
        <f>IF(LEN('[7]9'!B31),'[7]9'!B31,"")</f>
        <v>Jul</v>
      </c>
      <c r="C31" s="122" t="str">
        <f>IF(LEN('[7]9'!C31),'[7]9'!C31,"")</f>
        <v/>
      </c>
      <c r="E31" s="181">
        <f>IF(LEN('[7]9'!E31),'[7]9'!E31,"")</f>
        <v>1963</v>
      </c>
      <c r="F31" s="181" t="str">
        <f>IF(LEN('[7]9'!F31),'[7]9'!F31,"")</f>
        <v>Sep</v>
      </c>
      <c r="G31" s="181" t="str">
        <f>IF(LEN('[7]9'!G31),'[7]9'!G31,"")</f>
        <v>Cindy</v>
      </c>
      <c r="K31" s="2"/>
      <c r="M31" s="69"/>
    </row>
    <row r="32" spans="1:13" x14ac:dyDescent="0.2">
      <c r="A32" s="122">
        <f>IF(LEN('[7]9'!A32),'[7]9'!A32,"")</f>
        <v>1895</v>
      </c>
      <c r="B32" s="122" t="str">
        <f>IF(LEN('[7]9'!B32),'[7]9'!B32,"")</f>
        <v>Aug</v>
      </c>
      <c r="C32" s="122" t="str">
        <f>IF(LEN('[7]9'!C32),'[7]9'!C32,"")</f>
        <v/>
      </c>
      <c r="E32" s="122">
        <f>IF(LEN('[7]9'!E32),'[7]9'!E32,"")</f>
        <v>1967</v>
      </c>
      <c r="F32" s="122" t="str">
        <f>IF(LEN('[7]9'!F32),'[7]9'!F32,"")</f>
        <v>Sep</v>
      </c>
      <c r="G32" s="122" t="str">
        <f>IF(LEN('[7]9'!G32),'[7]9'!G32,"")</f>
        <v>Beulah</v>
      </c>
      <c r="K32" s="2"/>
      <c r="M32" s="69"/>
    </row>
    <row r="33" spans="1:13" x14ac:dyDescent="0.2">
      <c r="A33" s="122">
        <f>IF(LEN('[7]9'!A33),'[7]9'!A33,"")</f>
        <v>1897</v>
      </c>
      <c r="B33" s="122" t="str">
        <f>IF(LEN('[7]9'!B33),'[7]9'!B33,"")</f>
        <v>Sep</v>
      </c>
      <c r="C33" s="122" t="str">
        <f>IF(LEN('[7]9'!C33),'[7]9'!C33,"")</f>
        <v/>
      </c>
      <c r="E33" s="122">
        <f>IF(LEN('[7]9'!E33),'[7]9'!E33,"")</f>
        <v>1970</v>
      </c>
      <c r="F33" s="122" t="str">
        <f>IF(LEN('[7]9'!F33),'[7]9'!F33,"")</f>
        <v>Aug</v>
      </c>
      <c r="G33" s="122" t="str">
        <f>IF(LEN('[7]9'!G33),'[7]9'!G33,"")</f>
        <v>Celia</v>
      </c>
      <c r="K33" s="2"/>
      <c r="M33" s="69"/>
    </row>
    <row r="34" spans="1:13" x14ac:dyDescent="0.2">
      <c r="A34" s="122">
        <f>IF(LEN('[7]9'!A34),'[7]9'!A34,"")</f>
        <v>1900</v>
      </c>
      <c r="B34" s="122" t="str">
        <f>IF(LEN('[7]9'!B34),'[7]9'!B34,"")</f>
        <v>Sep</v>
      </c>
      <c r="C34" s="122" t="str">
        <f>IF(LEN('[7]9'!C34),'[7]9'!C34,"")</f>
        <v>“Galveston”</v>
      </c>
      <c r="E34" s="122">
        <f>IF(LEN('[7]9'!E34),'[7]9'!E34,"")</f>
        <v>1971</v>
      </c>
      <c r="F34" s="122" t="str">
        <f>IF(LEN('[7]9'!F34),'[7]9'!F34,"")</f>
        <v>Sep</v>
      </c>
      <c r="G34" s="122" t="str">
        <f>IF(LEN('[7]9'!G34),'[7]9'!G34,"")</f>
        <v>Fern</v>
      </c>
      <c r="K34" s="2"/>
      <c r="M34" s="69"/>
    </row>
    <row r="35" spans="1:13" x14ac:dyDescent="0.2">
      <c r="A35" s="122">
        <f>IF(LEN('[7]9'!A35),'[7]9'!A35,"")</f>
        <v>1909</v>
      </c>
      <c r="B35" s="122" t="str">
        <f>IF(LEN('[7]9'!B35),'[7]9'!B35,"")</f>
        <v>Jun</v>
      </c>
      <c r="C35" s="122" t="str">
        <f>IF(LEN('[7]9'!C35),'[7]9'!C35,"")</f>
        <v/>
      </c>
      <c r="E35" s="122">
        <f>IF(LEN('[7]9'!E35),'[7]9'!E35,"")</f>
        <v>1980</v>
      </c>
      <c r="F35" s="122" t="str">
        <f>IF(LEN('[7]9'!F35),'[7]9'!F35,"")</f>
        <v>Aug</v>
      </c>
      <c r="G35" s="122" t="str">
        <f>IF(LEN('[7]9'!G35),'[7]9'!G35,"")</f>
        <v>Allen</v>
      </c>
      <c r="K35" s="2"/>
      <c r="M35" s="69"/>
    </row>
    <row r="36" spans="1:13" x14ac:dyDescent="0.2">
      <c r="A36" s="122">
        <f>IF(LEN('[7]9'!A36),'[7]9'!A36,"")</f>
        <v>1909</v>
      </c>
      <c r="B36" s="122" t="str">
        <f>IF(LEN('[7]9'!B36),'[7]9'!B36,"")</f>
        <v>Jul</v>
      </c>
      <c r="C36" s="122" t="str">
        <f>IF(LEN('[7]9'!C36),'[7]9'!C36,"")</f>
        <v>“Velasco”</v>
      </c>
      <c r="E36" s="122">
        <f>IF(LEN('[7]9'!E36),'[7]9'!E36,"")</f>
        <v>1983</v>
      </c>
      <c r="F36" s="122" t="str">
        <f>IF(LEN('[7]9'!F36),'[7]9'!F36,"")</f>
        <v>Aug</v>
      </c>
      <c r="G36" s="122" t="str">
        <f>IF(LEN('[7]9'!G36),'[7]9'!G36,"")</f>
        <v>Alicia</v>
      </c>
      <c r="K36" s="2"/>
      <c r="M36" s="69"/>
    </row>
    <row r="37" spans="1:13" x14ac:dyDescent="0.2">
      <c r="A37" s="122">
        <f>IF(LEN('[7]9'!A37),'[7]9'!A37,"")</f>
        <v>1909</v>
      </c>
      <c r="B37" s="122" t="str">
        <f>IF(LEN('[7]9'!B37),'[7]9'!B37,"")</f>
        <v>Aug</v>
      </c>
      <c r="C37" s="122" t="str">
        <f>IF(LEN('[7]9'!C37),'[7]9'!C37,"")</f>
        <v/>
      </c>
      <c r="E37" s="122">
        <f>IF(LEN('[7]9'!E37),'[7]9'!E37,"")</f>
        <v>1986</v>
      </c>
      <c r="F37" s="122" t="str">
        <f>IF(LEN('[7]9'!F37),'[7]9'!F37,"")</f>
        <v>Jun</v>
      </c>
      <c r="G37" s="122" t="str">
        <f>IF(LEN('[7]9'!G37),'[7]9'!G37,"")</f>
        <v>Bonnie</v>
      </c>
      <c r="K37" s="2"/>
      <c r="M37" s="69"/>
    </row>
    <row r="38" spans="1:13" x14ac:dyDescent="0.2">
      <c r="A38" s="122">
        <f>IF(LEN('[7]9'!A38),'[7]9'!A38,"")</f>
        <v>1910</v>
      </c>
      <c r="B38" s="122" t="str">
        <f>IF(LEN('[7]9'!B38),'[7]9'!B38,"")</f>
        <v>Sep</v>
      </c>
      <c r="C38" s="122" t="str">
        <f>IF(LEN('[7]9'!C38),'[7]9'!C38,"")</f>
        <v/>
      </c>
      <c r="E38" s="122">
        <f>IF(LEN('[7]9'!E38),'[7]9'!E38,"")</f>
        <v>1989</v>
      </c>
      <c r="F38" s="122" t="str">
        <f>IF(LEN('[7]9'!F38),'[7]9'!F38,"")</f>
        <v>Aug</v>
      </c>
      <c r="G38" s="122" t="str">
        <f>IF(LEN('[7]9'!G38),'[7]9'!G38,"")</f>
        <v>Chantal</v>
      </c>
      <c r="K38" s="2"/>
      <c r="M38" s="69"/>
    </row>
    <row r="39" spans="1:13" x14ac:dyDescent="0.2">
      <c r="A39" s="122">
        <f>IF(LEN('[7]9'!A39),'[7]9'!A39,"")</f>
        <v>1912</v>
      </c>
      <c r="B39" s="122" t="str">
        <f>IF(LEN('[7]9'!B39),'[7]9'!B39,"")</f>
        <v>Oct</v>
      </c>
      <c r="C39" s="122" t="str">
        <f>IF(LEN('[7]9'!C39),'[7]9'!C39,"")</f>
        <v/>
      </c>
      <c r="D39" s="45"/>
      <c r="E39" s="122">
        <f>IF(LEN('[7]9'!E39),'[7]9'!E39,"")</f>
        <v>1989</v>
      </c>
      <c r="F39" s="122" t="str">
        <f>IF(LEN('[7]9'!F39),'[7]9'!F39,"")</f>
        <v>Oct</v>
      </c>
      <c r="G39" s="122" t="str">
        <f>IF(LEN('[7]9'!G39),'[7]9'!G39,"")</f>
        <v>Jerry</v>
      </c>
      <c r="H39" s="45"/>
      <c r="I39" s="45"/>
      <c r="J39" s="60"/>
      <c r="K39" s="2"/>
      <c r="M39" s="69"/>
    </row>
    <row r="40" spans="1:13" x14ac:dyDescent="0.2">
      <c r="A40" s="122">
        <f>IF(LEN('[7]9'!A40),'[7]9'!A40,"")</f>
        <v>1913</v>
      </c>
      <c r="B40" s="122" t="str">
        <f>IF(LEN('[7]9'!B40),'[7]9'!B40,"")</f>
        <v>Jun</v>
      </c>
      <c r="C40" s="122" t="str">
        <f>IF(LEN('[7]9'!C40),'[7]9'!C40,"")</f>
        <v/>
      </c>
      <c r="D40" s="60"/>
      <c r="E40" s="122">
        <f>IF(LEN('[7]9'!E40),'[7]9'!E40,"")</f>
        <v>1999</v>
      </c>
      <c r="F40" s="122" t="str">
        <f>IF(LEN('[7]9'!F40),'[7]9'!F40,"")</f>
        <v>Aug</v>
      </c>
      <c r="G40" s="122" t="str">
        <f>IF(LEN('[7]9'!G40),'[7]9'!G40,"")</f>
        <v>Bret</v>
      </c>
      <c r="H40" s="60"/>
      <c r="I40" s="60"/>
      <c r="J40" s="60"/>
      <c r="K40" s="2"/>
      <c r="M40" s="69"/>
    </row>
    <row r="41" spans="1:13" x14ac:dyDescent="0.2">
      <c r="A41" s="122">
        <f>IF(LEN('[7]9'!A41),'[7]9'!A41,"")</f>
        <v>1915</v>
      </c>
      <c r="B41" s="122" t="str">
        <f>IF(LEN('[7]9'!B41),'[7]9'!B41,"")</f>
        <v>Aug</v>
      </c>
      <c r="C41" s="122" t="str">
        <f>IF(LEN('[7]9'!C41),'[7]9'!C41,"")</f>
        <v>“Galveston”</v>
      </c>
      <c r="E41" s="122">
        <f>IF(LEN('[7]9'!E41),'[7]9'!E41,"")</f>
        <v>2003</v>
      </c>
      <c r="F41" s="122" t="str">
        <f>IF(LEN('[7]9'!F41),'[7]9'!F41,"")</f>
        <v>Jul</v>
      </c>
      <c r="G41" s="122" t="str">
        <f>IF(LEN('[7]9'!G41),'[7]9'!G41,"")</f>
        <v>Claudette</v>
      </c>
      <c r="K41" s="2"/>
      <c r="M41" s="69"/>
    </row>
    <row r="42" spans="1:13" s="60" customFormat="1" x14ac:dyDescent="0.2">
      <c r="A42" s="122">
        <f>IF(LEN('[7]9'!A42),'[7]9'!A42,"")</f>
        <v>1916</v>
      </c>
      <c r="B42" s="122" t="str">
        <f>IF(LEN('[7]9'!B42),'[7]9'!B42,"")</f>
        <v>Aug</v>
      </c>
      <c r="C42" s="122" t="str">
        <f>IF(LEN('[7]9'!C42),'[7]9'!C42,"")</f>
        <v/>
      </c>
      <c r="D42"/>
      <c r="E42" s="122">
        <f>IF(LEN('[7]9'!E42),'[7]9'!E42,"")</f>
        <v>2005</v>
      </c>
      <c r="F42" s="122" t="str">
        <f>IF(LEN('[7]9'!F42),'[7]9'!F42,"")</f>
        <v>Sep</v>
      </c>
      <c r="G42" s="122" t="str">
        <f>IF(LEN('[7]9'!G42),'[7]9'!G42,"")</f>
        <v>Rita</v>
      </c>
      <c r="H42"/>
      <c r="I42"/>
      <c r="J42"/>
      <c r="K42" s="2"/>
      <c r="M42" s="75"/>
    </row>
    <row r="43" spans="1:13" s="60" customFormat="1" x14ac:dyDescent="0.2">
      <c r="A43" s="122">
        <f>IF(LEN('[7]9'!A43),'[7]9'!A43,"")</f>
        <v>1919</v>
      </c>
      <c r="B43" s="122" t="str">
        <f>IF(LEN('[7]9'!B43),'[7]9'!B43,"")</f>
        <v>Sep</v>
      </c>
      <c r="C43" s="122" t="str">
        <f>IF(LEN('[7]9'!C43),'[7]9'!C43,"")</f>
        <v/>
      </c>
      <c r="D43"/>
      <c r="E43" s="122">
        <f>IF(LEN('[7]9'!E43),'[7]9'!E43,"")</f>
        <v>2007</v>
      </c>
      <c r="F43" s="122" t="str">
        <f>IF(LEN('[7]9'!F43),'[7]9'!F43,"")</f>
        <v>Sep</v>
      </c>
      <c r="G43" s="122" t="str">
        <f>IF(LEN('[7]9'!G43),'[7]9'!G43,"")</f>
        <v>Humberto</v>
      </c>
      <c r="H43"/>
      <c r="I43"/>
      <c r="J43"/>
      <c r="K43" s="2"/>
      <c r="M43" s="75"/>
    </row>
    <row r="44" spans="1:13" x14ac:dyDescent="0.2">
      <c r="A44" s="122">
        <f>IF(LEN('[7]9'!A44),'[7]9'!A44,"")</f>
        <v>1921</v>
      </c>
      <c r="B44" s="122" t="str">
        <f>IF(LEN('[7]9'!B44),'[7]9'!B44,"")</f>
        <v>Jun</v>
      </c>
      <c r="C44" s="122" t="str">
        <f>IF(LEN('[7]9'!C44),'[7]9'!C44,"")</f>
        <v/>
      </c>
      <c r="E44" s="122">
        <f>IF(LEN('[7]9'!E44),'[7]9'!E44,"")</f>
        <v>2008</v>
      </c>
      <c r="F44" s="122" t="str">
        <f>IF(LEN('[7]9'!F44),'[7]9'!F44,"")</f>
        <v>Jul</v>
      </c>
      <c r="G44" s="122" t="str">
        <f>IF(LEN('[7]9'!G44),'[7]9'!G44,"")</f>
        <v>Dolly</v>
      </c>
      <c r="K44" s="2"/>
      <c r="M44" s="69"/>
    </row>
    <row r="45" spans="1:13" x14ac:dyDescent="0.2">
      <c r="A45" s="122"/>
      <c r="B45" s="122"/>
      <c r="C45" s="122"/>
      <c r="E45" s="122">
        <f>IF(LEN('[7]9'!E45),'[7]9'!E45,"")</f>
        <v>2008</v>
      </c>
      <c r="F45" s="122" t="str">
        <f>IF(LEN('[7]9'!F45),'[7]9'!F45,"")</f>
        <v>Sep</v>
      </c>
      <c r="G45" s="122" t="str">
        <f>IF(LEN('[7]9'!G45),'[7]9'!G45,"")</f>
        <v>Ike</v>
      </c>
      <c r="K45" s="2"/>
      <c r="M45" s="69"/>
    </row>
    <row r="46" spans="1:13" x14ac:dyDescent="0.2">
      <c r="A46" s="9"/>
      <c r="B46" s="9"/>
      <c r="C46" s="9"/>
      <c r="D46" s="9"/>
      <c r="E46" s="181">
        <f>IF(LEN('[7]9'!E46),'[7]9'!E46,"")</f>
        <v>2017</v>
      </c>
      <c r="F46" s="181" t="str">
        <f>IF(LEN('[7]9'!F46),'[7]9'!F46,"")</f>
        <v>Aug</v>
      </c>
      <c r="G46" s="181" t="str">
        <f>IF(LEN('[7]9'!G46),'[7]9'!G46,"")</f>
        <v>Harvey</v>
      </c>
      <c r="H46" s="50"/>
      <c r="K46" s="2"/>
      <c r="M46" s="69"/>
    </row>
    <row r="47" spans="1:13" x14ac:dyDescent="0.2">
      <c r="B47" s="61"/>
      <c r="C47" s="61"/>
      <c r="D47" s="61"/>
      <c r="E47" s="61"/>
      <c r="F47" s="23"/>
      <c r="K47" s="2"/>
    </row>
    <row r="48" spans="1:13" x14ac:dyDescent="0.2">
      <c r="A48" s="70" t="s">
        <v>176</v>
      </c>
      <c r="B48" s="70"/>
      <c r="C48" s="71" t="s">
        <v>177</v>
      </c>
      <c r="D48" s="71" t="s">
        <v>178</v>
      </c>
      <c r="E48" s="71" t="s">
        <v>233</v>
      </c>
      <c r="F48" s="71" t="s">
        <v>179</v>
      </c>
      <c r="G48" s="71"/>
      <c r="K48" s="2"/>
    </row>
    <row r="49" spans="1:13" x14ac:dyDescent="0.2">
      <c r="A49" s="154"/>
      <c r="C49" s="63"/>
      <c r="D49" s="63"/>
      <c r="E49" s="63"/>
      <c r="F49" s="63"/>
      <c r="K49" s="2"/>
    </row>
    <row r="50" spans="1:13" x14ac:dyDescent="0.2">
      <c r="A50" s="73" t="str">
        <f>E50&amp;"-Year"</f>
        <v>54-Year</v>
      </c>
      <c r="C50" s="61" t="str">
        <f>TEXT(DATE(YEAR(M4)-E50,MONTH(M4)+1,1),"m/d/yyyy")&amp;" - "&amp;TEXT(M4,"m/d/yyyy")</f>
        <v>1/1/1966 - 12/31/2019</v>
      </c>
      <c r="D50" s="72">
        <f>SUM(COUNTIF($A$14:$A$44,"&gt;=1970"),COUNTIF($E$14:$E$46,"&gt;=1966"))</f>
        <v>15</v>
      </c>
      <c r="E50" s="72">
        <f>'6.1'!$O$5</f>
        <v>54</v>
      </c>
      <c r="G50" s="182">
        <f>ROUND(D50/E50,3)</f>
        <v>0.27800000000000002</v>
      </c>
      <c r="K50" s="2"/>
    </row>
    <row r="51" spans="1:13" x14ac:dyDescent="0.2">
      <c r="A51" s="73" t="str">
        <f>E51&amp;"-Year"</f>
        <v>169-Year</v>
      </c>
      <c r="C51" s="12" t="str">
        <f>MONTH(M4+1)&amp;"/1/"&amp;YEAR(M4+1)-E51&amp;" - "&amp;TEXT(M4,"m/d/yyyy")</f>
        <v>1/1/1851 - 12/31/2019</v>
      </c>
      <c r="D51" s="74">
        <f>SUM(COUNTA(A14:A44),COUNTA(E14:E46))</f>
        <v>64</v>
      </c>
      <c r="E51" s="156">
        <f>YEAR($M$4)-$L$4</f>
        <v>169</v>
      </c>
      <c r="G51" s="182">
        <f>ROUND(D51/E51,3)</f>
        <v>0.379</v>
      </c>
      <c r="K51" s="2"/>
    </row>
    <row r="52" spans="1:13" ht="12" thickBot="1" x14ac:dyDescent="0.25">
      <c r="A52" s="6"/>
      <c r="B52" s="6"/>
      <c r="C52" s="6"/>
      <c r="D52" s="6"/>
      <c r="E52" s="6"/>
      <c r="F52" s="6"/>
      <c r="G52" s="6"/>
      <c r="K52" s="2"/>
    </row>
    <row r="53" spans="1:13" ht="12" thickTop="1" x14ac:dyDescent="0.2">
      <c r="A53" s="50"/>
      <c r="B53" s="50"/>
      <c r="C53" s="50"/>
      <c r="D53" s="50"/>
      <c r="E53" s="50"/>
      <c r="K53" s="2"/>
    </row>
    <row r="54" spans="1:13" x14ac:dyDescent="0.2">
      <c r="A54" s="50" t="s">
        <v>17</v>
      </c>
      <c r="B54" s="50"/>
      <c r="K54" s="2"/>
      <c r="M54" s="69"/>
    </row>
    <row r="55" spans="1:13" x14ac:dyDescent="0.2">
      <c r="A55" s="50"/>
      <c r="B55" s="278" t="str">
        <f>'[6]9'!$B$55</f>
        <v>(1), (2) from NOAA Technical Memorandum NWS-NHC-6, updated with actual experience through 2019</v>
      </c>
      <c r="K55" s="2"/>
      <c r="M55" s="69"/>
    </row>
    <row r="56" spans="1:13" x14ac:dyDescent="0.2">
      <c r="K56" s="2"/>
      <c r="M56" s="69"/>
    </row>
    <row r="57" spans="1:13" x14ac:dyDescent="0.2">
      <c r="K57" s="2"/>
      <c r="M57" s="69"/>
    </row>
    <row r="58" spans="1:13" s="60" customFormat="1" x14ac:dyDescent="0.2">
      <c r="A58"/>
      <c r="B58"/>
      <c r="C58"/>
      <c r="D58"/>
      <c r="K58" s="2"/>
      <c r="M58" s="75"/>
    </row>
    <row r="59" spans="1:13" s="60" customFormat="1" x14ac:dyDescent="0.2">
      <c r="A59"/>
      <c r="B59"/>
      <c r="C59"/>
      <c r="K59" s="2"/>
      <c r="M59" s="75"/>
    </row>
    <row r="60" spans="1:13" s="60" customFormat="1" x14ac:dyDescent="0.2">
      <c r="A60"/>
      <c r="B60"/>
      <c r="C60"/>
      <c r="D60" s="45"/>
      <c r="E60" s="45"/>
      <c r="F60" s="45"/>
      <c r="G60" s="45"/>
      <c r="H60" s="45"/>
      <c r="I60" s="45"/>
      <c r="K60" s="2"/>
      <c r="M60" s="75"/>
    </row>
    <row r="61" spans="1:13" s="60" customFormat="1" x14ac:dyDescent="0.2">
      <c r="A61"/>
      <c r="B61"/>
      <c r="C61"/>
      <c r="D61" s="29"/>
      <c r="E61" s="29"/>
      <c r="F61" s="29"/>
      <c r="G61" s="29"/>
      <c r="H61" s="29"/>
      <c r="I61" s="29"/>
      <c r="K61" s="2"/>
    </row>
    <row r="62" spans="1:13" s="60" customFormat="1" x14ac:dyDescent="0.2">
      <c r="A62"/>
      <c r="B62"/>
      <c r="C62"/>
      <c r="F62" s="33"/>
      <c r="G62" s="33"/>
      <c r="H62" s="33"/>
      <c r="I62" s="33"/>
      <c r="K62" s="2"/>
    </row>
    <row r="63" spans="1:13" s="60" customFormat="1" x14ac:dyDescent="0.2">
      <c r="A63"/>
      <c r="B63"/>
      <c r="C63"/>
      <c r="F63" s="33"/>
      <c r="G63" s="33"/>
      <c r="H63" s="33"/>
      <c r="I63" s="33"/>
      <c r="K63" s="2"/>
    </row>
    <row r="64" spans="1:13" x14ac:dyDescent="0.2">
      <c r="C64" s="38"/>
      <c r="D64" s="38"/>
      <c r="E64" s="38"/>
      <c r="F64" s="23"/>
      <c r="K64" s="2"/>
    </row>
    <row r="65" spans="1:11" x14ac:dyDescent="0.2">
      <c r="A65" s="50"/>
      <c r="B65" s="50"/>
      <c r="C65" s="50"/>
      <c r="D65" s="50"/>
      <c r="E65" s="50"/>
      <c r="K65" s="2"/>
    </row>
    <row r="66" spans="1:11" x14ac:dyDescent="0.2">
      <c r="A66" s="50"/>
      <c r="B66" s="50"/>
      <c r="C66" s="50"/>
      <c r="D66" s="50"/>
      <c r="E66" s="50"/>
      <c r="K66" s="2"/>
    </row>
    <row r="67" spans="1:11" x14ac:dyDescent="0.2">
      <c r="A67" s="50"/>
      <c r="B67" s="50"/>
      <c r="C67" s="50"/>
      <c r="D67" s="50"/>
      <c r="E67" s="50"/>
      <c r="K67" s="2"/>
    </row>
    <row r="68" spans="1:11" ht="12" thickBot="1" x14ac:dyDescent="0.25">
      <c r="A68" s="50"/>
      <c r="B68" s="50"/>
      <c r="C68" s="50"/>
      <c r="D68" s="50"/>
      <c r="E68" s="50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tabColor rgb="FF92D050"/>
  </sheetPr>
  <dimension ref="A1:L68"/>
  <sheetViews>
    <sheetView showGridLines="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174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186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2"/>
      <c r="D9" t="s">
        <v>37</v>
      </c>
      <c r="E9" t="s">
        <v>44</v>
      </c>
      <c r="K9" s="2"/>
      <c r="L9" s="27"/>
    </row>
    <row r="10" spans="1:12" x14ac:dyDescent="0.2">
      <c r="C10" t="s">
        <v>327</v>
      </c>
      <c r="D10" t="s">
        <v>329</v>
      </c>
      <c r="E10" t="s">
        <v>42</v>
      </c>
      <c r="K10" s="2"/>
    </row>
    <row r="11" spans="1:12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1" si="0">TEXT(A15-1,"#")</f>
        <v>2009</v>
      </c>
      <c r="B14" s="25"/>
      <c r="C14" s="82">
        <f>'[3]TICO 2'!O23</f>
        <v>80844468</v>
      </c>
      <c r="D14" s="213">
        <f>'10.2'!D15</f>
        <v>1.4987056675771686</v>
      </c>
      <c r="E14" s="31">
        <f t="shared" ref="E14:E23" si="1">ROUND(C14*D14,0)</f>
        <v>121162062</v>
      </c>
      <c r="K14" s="2"/>
      <c r="L14" s="35"/>
    </row>
    <row r="15" spans="1:12" x14ac:dyDescent="0.2">
      <c r="A15" t="str">
        <f t="shared" si="0"/>
        <v>2010</v>
      </c>
      <c r="B15" s="25"/>
      <c r="C15" s="82">
        <f>'[3]TICO 2'!O24</f>
        <v>88599807</v>
      </c>
      <c r="D15" s="213">
        <f>'10.2'!D16</f>
        <v>1.4074808531397425</v>
      </c>
      <c r="E15" s="31">
        <f t="shared" si="1"/>
        <v>124702532</v>
      </c>
      <c r="K15" s="2"/>
      <c r="L15" s="35"/>
    </row>
    <row r="16" spans="1:12" x14ac:dyDescent="0.2">
      <c r="A16" t="str">
        <f t="shared" si="0"/>
        <v>2011</v>
      </c>
      <c r="B16" s="25"/>
      <c r="C16" s="82">
        <f>'[3]TICO 2'!O25</f>
        <v>92287441</v>
      </c>
      <c r="D16" s="213">
        <f>'10.2'!D17</f>
        <v>1.3727166755238378</v>
      </c>
      <c r="E16" s="31">
        <f t="shared" si="1"/>
        <v>126684509</v>
      </c>
      <c r="K16" s="2"/>
      <c r="L16" s="35"/>
    </row>
    <row r="17" spans="1:12" x14ac:dyDescent="0.2">
      <c r="A17" t="str">
        <f t="shared" si="0"/>
        <v>2012</v>
      </c>
      <c r="B17" s="25"/>
      <c r="C17" s="82">
        <f>'[3]TICO 2'!O26</f>
        <v>98605959</v>
      </c>
      <c r="D17" s="213">
        <f>'10.2'!D18</f>
        <v>1.3073731976777445</v>
      </c>
      <c r="E17" s="31">
        <f t="shared" si="1"/>
        <v>128914788</v>
      </c>
      <c r="K17" s="2"/>
      <c r="L17" s="35"/>
    </row>
    <row r="18" spans="1:12" x14ac:dyDescent="0.2">
      <c r="A18" t="str">
        <f t="shared" si="0"/>
        <v>2013</v>
      </c>
      <c r="B18" s="25"/>
      <c r="C18" s="82">
        <f>'[3]TICO 2'!O27</f>
        <v>105941027</v>
      </c>
      <c r="D18" s="213">
        <f>'10.2'!D19</f>
        <v>1.2452851041347781</v>
      </c>
      <c r="E18" s="31">
        <f t="shared" si="1"/>
        <v>131926783</v>
      </c>
      <c r="K18" s="2"/>
      <c r="L18" s="35"/>
    </row>
    <row r="19" spans="1:12" x14ac:dyDescent="0.2">
      <c r="A19" t="str">
        <f t="shared" si="0"/>
        <v>2014</v>
      </c>
      <c r="B19" s="25"/>
      <c r="C19" s="82">
        <f>'[3]TICO 2'!O28</f>
        <v>113521698</v>
      </c>
      <c r="D19" s="213">
        <f>'10.2'!D20</f>
        <v>1.1862347753925764</v>
      </c>
      <c r="E19" s="31">
        <f t="shared" si="1"/>
        <v>134663386</v>
      </c>
      <c r="K19" s="2"/>
      <c r="L19" s="35"/>
    </row>
    <row r="20" spans="1:12" x14ac:dyDescent="0.2">
      <c r="A20" t="str">
        <f t="shared" si="0"/>
        <v>2015</v>
      </c>
      <c r="B20" s="25"/>
      <c r="C20" s="82">
        <f>'[3]TICO 2'!O29</f>
        <v>121221015</v>
      </c>
      <c r="D20" s="213">
        <f>'10.2'!D21</f>
        <v>1.1299661810216541</v>
      </c>
      <c r="E20" s="31">
        <f t="shared" si="1"/>
        <v>136975647</v>
      </c>
      <c r="K20" s="2"/>
      <c r="L20" s="35"/>
    </row>
    <row r="21" spans="1:12" x14ac:dyDescent="0.2">
      <c r="A21" t="str">
        <f t="shared" si="0"/>
        <v>2016</v>
      </c>
      <c r="B21" s="25"/>
      <c r="C21" s="82">
        <f>'[3]TICO 2'!O30</f>
        <v>123942872</v>
      </c>
      <c r="D21" s="213">
        <f>'10.2'!D22</f>
        <v>1.0765597532120244</v>
      </c>
      <c r="E21" s="31">
        <f t="shared" si="1"/>
        <v>133431908</v>
      </c>
      <c r="K21" s="2"/>
      <c r="L21" s="35" t="s">
        <v>216</v>
      </c>
    </row>
    <row r="22" spans="1:12" x14ac:dyDescent="0.2">
      <c r="A22" t="str">
        <f>TEXT(A23-1,"#")</f>
        <v>2017</v>
      </c>
      <c r="B22" s="25"/>
      <c r="C22" s="82">
        <f>'[3]TICO 2'!O31</f>
        <v>120650271</v>
      </c>
      <c r="D22" s="213">
        <f>'10.2'!D23</f>
        <v>1.0500000000000014</v>
      </c>
      <c r="E22" s="31">
        <f t="shared" si="1"/>
        <v>126682785</v>
      </c>
      <c r="K22" s="2"/>
      <c r="L22" s="85">
        <f>'[3]TICO 2'!$E$1</f>
        <v>43738</v>
      </c>
    </row>
    <row r="23" spans="1:12" x14ac:dyDescent="0.2">
      <c r="A23" t="str">
        <f>TEXT(A24-1,"#")</f>
        <v>2018</v>
      </c>
      <c r="B23" s="25"/>
      <c r="C23" s="82">
        <f>'[3]TICO 2'!O32</f>
        <v>112717188</v>
      </c>
      <c r="D23" s="213">
        <f>'10.2'!D24</f>
        <v>1.0255439472483592</v>
      </c>
      <c r="E23" s="31">
        <f t="shared" si="1"/>
        <v>115596430</v>
      </c>
      <c r="K23" s="2"/>
    </row>
    <row r="24" spans="1:12" x14ac:dyDescent="0.2">
      <c r="A24" s="25" t="str">
        <f>TEXT(YEAR($L$22),"#")</f>
        <v>2019</v>
      </c>
      <c r="B24" s="25"/>
      <c r="C24" s="82">
        <f>'[3]TICO 2'!O33</f>
        <v>109182096</v>
      </c>
      <c r="D24" s="213">
        <f>'10.2'!D25</f>
        <v>0.999999999999997</v>
      </c>
      <c r="E24" s="31">
        <f t="shared" ref="E24" si="2">ROUND(C24*D24,0)</f>
        <v>109182096</v>
      </c>
      <c r="K24" s="2"/>
    </row>
    <row r="25" spans="1:12" x14ac:dyDescent="0.2">
      <c r="A25" s="9"/>
      <c r="B25" s="26"/>
      <c r="C25" s="83"/>
      <c r="D25" s="37"/>
      <c r="E25" s="68"/>
      <c r="K25" s="2"/>
    </row>
    <row r="26" spans="1:12" x14ac:dyDescent="0.2">
      <c r="C26" s="19"/>
      <c r="K26" s="2"/>
    </row>
    <row r="27" spans="1:12" x14ac:dyDescent="0.2">
      <c r="A27" t="s">
        <v>9</v>
      </c>
      <c r="C27" s="19">
        <f>SUM(C14:C25)</f>
        <v>1167513842</v>
      </c>
      <c r="E27" s="19">
        <f>SUM(E14:E25)</f>
        <v>1389922926</v>
      </c>
      <c r="K27" s="2"/>
    </row>
    <row r="28" spans="1:12" ht="12" thickBot="1" x14ac:dyDescent="0.25">
      <c r="A28" s="6"/>
      <c r="B28" s="6"/>
      <c r="C28" s="6"/>
      <c r="D28" s="6"/>
      <c r="E28" s="6"/>
      <c r="K28" s="2"/>
    </row>
    <row r="29" spans="1:12" ht="12" thickTop="1" x14ac:dyDescent="0.2">
      <c r="K29" s="2"/>
    </row>
    <row r="30" spans="1:12" x14ac:dyDescent="0.2">
      <c r="A30" t="s">
        <v>17</v>
      </c>
      <c r="K30" s="2"/>
    </row>
    <row r="31" spans="1:12" x14ac:dyDescent="0.2">
      <c r="B31" s="22" t="str">
        <f>C12&amp;" Provided by TWIA"</f>
        <v>(2) Provided by TWIA</v>
      </c>
      <c r="K31" s="2"/>
    </row>
    <row r="32" spans="1:12" x14ac:dyDescent="0.2">
      <c r="B32" s="22" t="str">
        <f>D12&amp;" Provided by TWIA"</f>
        <v>(3) Provided by TWIA</v>
      </c>
      <c r="K32" s="2"/>
    </row>
    <row r="33" spans="1:12" x14ac:dyDescent="0.2">
      <c r="B33" s="22" t="str">
        <f>E12&amp;" = "&amp;C12&amp;" * "&amp;D12</f>
        <v>(4) = (2) * (3)</v>
      </c>
      <c r="K33" s="2"/>
      <c r="L33" s="85"/>
    </row>
    <row r="34" spans="1:12" x14ac:dyDescent="0.2">
      <c r="A34" s="60"/>
      <c r="B34" s="22"/>
      <c r="K34" s="2"/>
    </row>
    <row r="35" spans="1:12" x14ac:dyDescent="0.2">
      <c r="B35" s="22"/>
      <c r="K35" s="2"/>
    </row>
    <row r="36" spans="1:12" x14ac:dyDescent="0.2">
      <c r="B36" s="25"/>
      <c r="K36" s="2"/>
    </row>
    <row r="37" spans="1:12" x14ac:dyDescent="0.2">
      <c r="B37" s="25"/>
      <c r="K37" s="2"/>
    </row>
    <row r="38" spans="1:12" x14ac:dyDescent="0.2">
      <c r="K38" s="2"/>
    </row>
    <row r="39" spans="1:12" x14ac:dyDescent="0.2">
      <c r="K39" s="2"/>
    </row>
    <row r="40" spans="1:12" x14ac:dyDescent="0.2">
      <c r="K40" s="2"/>
    </row>
    <row r="41" spans="1:12" x14ac:dyDescent="0.2">
      <c r="K41" s="2"/>
    </row>
    <row r="42" spans="1:12" x14ac:dyDescent="0.2">
      <c r="K42" s="2"/>
    </row>
    <row r="43" spans="1:12" x14ac:dyDescent="0.2">
      <c r="K43" s="2"/>
    </row>
    <row r="44" spans="1:12" x14ac:dyDescent="0.2">
      <c r="K44" s="2"/>
    </row>
    <row r="45" spans="1:12" x14ac:dyDescent="0.2">
      <c r="K45" s="2"/>
    </row>
    <row r="46" spans="1:12" x14ac:dyDescent="0.2">
      <c r="K46" s="2"/>
    </row>
    <row r="47" spans="1:12" x14ac:dyDescent="0.2">
      <c r="K47" s="2"/>
    </row>
    <row r="48" spans="1:12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tabColor rgb="FF92D050"/>
  </sheetPr>
  <dimension ref="A1:L64"/>
  <sheetViews>
    <sheetView showGridLines="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174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183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186</v>
      </c>
      <c r="B4" s="12"/>
      <c r="K4" s="2"/>
    </row>
    <row r="5" spans="1:12" x14ac:dyDescent="0.2">
      <c r="A5" t="s">
        <v>45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2"/>
      <c r="D9" t="s">
        <v>37</v>
      </c>
      <c r="E9" t="s">
        <v>44</v>
      </c>
      <c r="K9" s="2"/>
      <c r="L9" s="27"/>
    </row>
    <row r="10" spans="1:12" x14ac:dyDescent="0.2">
      <c r="C10" t="s">
        <v>327</v>
      </c>
      <c r="D10" t="s">
        <v>329</v>
      </c>
      <c r="E10" t="s">
        <v>42</v>
      </c>
      <c r="K10" s="2"/>
    </row>
    <row r="11" spans="1:12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tr">
        <f t="shared" ref="A14:A23" si="0">TEXT(A15-1,"#")</f>
        <v>2009</v>
      </c>
      <c r="B14" s="25"/>
      <c r="C14" s="82">
        <f>'[3]TICO 2'!P23</f>
        <v>43977111</v>
      </c>
      <c r="D14" s="213">
        <f>'10.2'!D15</f>
        <v>1.4987056675771686</v>
      </c>
      <c r="E14" s="31">
        <f t="shared" ref="E14:E23" si="1">ROUND(C14*D14,0)</f>
        <v>65908745</v>
      </c>
      <c r="K14" s="2"/>
      <c r="L14" s="35"/>
    </row>
    <row r="15" spans="1:12" x14ac:dyDescent="0.2">
      <c r="A15" t="str">
        <f t="shared" si="0"/>
        <v>2010</v>
      </c>
      <c r="B15" s="25"/>
      <c r="C15" s="82">
        <f>'[3]TICO 2'!P24</f>
        <v>49048919</v>
      </c>
      <c r="D15" s="213">
        <f>'10.2'!D16</f>
        <v>1.4074808531397425</v>
      </c>
      <c r="E15" s="31">
        <f t="shared" si="1"/>
        <v>69035414</v>
      </c>
      <c r="K15" s="2"/>
      <c r="L15" s="35"/>
    </row>
    <row r="16" spans="1:12" x14ac:dyDescent="0.2">
      <c r="A16" t="str">
        <f t="shared" si="0"/>
        <v>2011</v>
      </c>
      <c r="B16" s="25"/>
      <c r="C16" s="82">
        <f>'[3]TICO 2'!P25</f>
        <v>50547302</v>
      </c>
      <c r="D16" s="213">
        <f>'10.2'!D17</f>
        <v>1.3727166755238378</v>
      </c>
      <c r="E16" s="31">
        <f t="shared" si="1"/>
        <v>69387124</v>
      </c>
      <c r="K16" s="2"/>
      <c r="L16" s="35"/>
    </row>
    <row r="17" spans="1:12" x14ac:dyDescent="0.2">
      <c r="A17" t="str">
        <f t="shared" si="0"/>
        <v>2012</v>
      </c>
      <c r="B17" s="25"/>
      <c r="C17" s="82">
        <f>'[3]TICO 2'!P26</f>
        <v>53841760</v>
      </c>
      <c r="D17" s="213">
        <f>'10.2'!D18</f>
        <v>1.3073731976777445</v>
      </c>
      <c r="E17" s="31">
        <f t="shared" si="1"/>
        <v>70391274</v>
      </c>
      <c r="K17" s="2"/>
      <c r="L17" s="35"/>
    </row>
    <row r="18" spans="1:12" x14ac:dyDescent="0.2">
      <c r="A18" t="str">
        <f t="shared" si="0"/>
        <v>2013</v>
      </c>
      <c r="B18" s="25"/>
      <c r="C18" s="82">
        <f>'[3]TICO 2'!P27</f>
        <v>57427564</v>
      </c>
      <c r="D18" s="213">
        <f>'10.2'!D19</f>
        <v>1.2452851041347781</v>
      </c>
      <c r="E18" s="31">
        <f t="shared" si="1"/>
        <v>71513690</v>
      </c>
      <c r="K18" s="2"/>
      <c r="L18" s="35"/>
    </row>
    <row r="19" spans="1:12" x14ac:dyDescent="0.2">
      <c r="A19" t="str">
        <f t="shared" si="0"/>
        <v>2014</v>
      </c>
      <c r="B19" s="25"/>
      <c r="C19" s="82">
        <f>'[3]TICO 2'!P28</f>
        <v>62828148</v>
      </c>
      <c r="D19" s="213">
        <f>'10.2'!D20</f>
        <v>1.1862347753925764</v>
      </c>
      <c r="E19" s="31">
        <f t="shared" si="1"/>
        <v>74528934</v>
      </c>
      <c r="K19" s="2"/>
      <c r="L19" s="35"/>
    </row>
    <row r="20" spans="1:12" x14ac:dyDescent="0.2">
      <c r="A20" t="str">
        <f t="shared" si="0"/>
        <v>2015</v>
      </c>
      <c r="B20" s="25"/>
      <c r="C20" s="82">
        <f>'[3]TICO 2'!P29</f>
        <v>68716114</v>
      </c>
      <c r="D20" s="213">
        <f>'10.2'!D21</f>
        <v>1.1299661810216541</v>
      </c>
      <c r="E20" s="31">
        <f t="shared" si="1"/>
        <v>77646885</v>
      </c>
      <c r="K20" s="2"/>
      <c r="L20" s="35"/>
    </row>
    <row r="21" spans="1:12" x14ac:dyDescent="0.2">
      <c r="A21" t="str">
        <f t="shared" si="0"/>
        <v>2016</v>
      </c>
      <c r="B21" s="25"/>
      <c r="C21" s="82">
        <f>'[3]TICO 2'!P30</f>
        <v>71234774</v>
      </c>
      <c r="D21" s="213">
        <f>'10.2'!D22</f>
        <v>1.0765597532120244</v>
      </c>
      <c r="E21" s="31">
        <f t="shared" si="1"/>
        <v>76688491</v>
      </c>
      <c r="K21" s="2"/>
      <c r="L21" s="35" t="s">
        <v>216</v>
      </c>
    </row>
    <row r="22" spans="1:12" x14ac:dyDescent="0.2">
      <c r="A22" t="str">
        <f t="shared" si="0"/>
        <v>2017</v>
      </c>
      <c r="B22" s="25"/>
      <c r="C22" s="82">
        <f>'[3]TICO 2'!P31</f>
        <v>69126281</v>
      </c>
      <c r="D22" s="213">
        <f>'10.2'!D23</f>
        <v>1.0500000000000014</v>
      </c>
      <c r="E22" s="31">
        <f t="shared" si="1"/>
        <v>72582595</v>
      </c>
      <c r="K22" s="2"/>
      <c r="L22" s="52">
        <f>'10.1a'!$L$22</f>
        <v>43738</v>
      </c>
    </row>
    <row r="23" spans="1:12" x14ac:dyDescent="0.2">
      <c r="A23" t="str">
        <f t="shared" si="0"/>
        <v>2018</v>
      </c>
      <c r="B23" s="25"/>
      <c r="C23" s="82">
        <f>'[3]TICO 2'!P32</f>
        <v>63899693</v>
      </c>
      <c r="D23" s="213">
        <f>'10.2'!D24</f>
        <v>1.0255439472483592</v>
      </c>
      <c r="E23" s="31">
        <f t="shared" si="1"/>
        <v>65531943</v>
      </c>
      <c r="K23" s="2"/>
      <c r="L23" s="52"/>
    </row>
    <row r="24" spans="1:12" x14ac:dyDescent="0.2">
      <c r="A24" s="25" t="str">
        <f>TEXT(YEAR($L$22),"#")</f>
        <v>2019</v>
      </c>
      <c r="B24" s="25"/>
      <c r="C24" s="82">
        <f>'[3]TICO 2'!P33</f>
        <v>59870593</v>
      </c>
      <c r="D24" s="213">
        <f>'10.2'!D25</f>
        <v>0.999999999999997</v>
      </c>
      <c r="E24" s="31">
        <f t="shared" ref="E24" si="2">ROUND(C24*D24,0)</f>
        <v>59870593</v>
      </c>
      <c r="K24" s="2"/>
      <c r="L24" s="52"/>
    </row>
    <row r="25" spans="1:12" x14ac:dyDescent="0.2">
      <c r="A25" s="9"/>
      <c r="B25" s="26"/>
      <c r="C25" s="83"/>
      <c r="D25" s="37"/>
      <c r="E25" s="68"/>
      <c r="K25" s="2"/>
    </row>
    <row r="26" spans="1:12" x14ac:dyDescent="0.2">
      <c r="C26" s="19"/>
      <c r="K26" s="2"/>
    </row>
    <row r="27" spans="1:12" x14ac:dyDescent="0.2">
      <c r="A27" t="s">
        <v>9</v>
      </c>
      <c r="C27" s="19">
        <f>SUM(C14:C25)</f>
        <v>650518259</v>
      </c>
      <c r="E27" s="19">
        <f>SUM(E14:E25)</f>
        <v>773085688</v>
      </c>
      <c r="K27" s="2"/>
    </row>
    <row r="28" spans="1:12" ht="12" thickBot="1" x14ac:dyDescent="0.25">
      <c r="A28" s="6"/>
      <c r="B28" s="6"/>
      <c r="C28" s="6"/>
      <c r="D28" s="6"/>
      <c r="E28" s="6"/>
      <c r="K28" s="2"/>
    </row>
    <row r="29" spans="1:12" ht="12" thickTop="1" x14ac:dyDescent="0.2">
      <c r="K29" s="2"/>
    </row>
    <row r="30" spans="1:12" x14ac:dyDescent="0.2">
      <c r="A30" t="s">
        <v>17</v>
      </c>
      <c r="K30" s="2"/>
    </row>
    <row r="31" spans="1:12" x14ac:dyDescent="0.2">
      <c r="B31" s="22" t="str">
        <f>C12&amp;" Provided by TWIA"</f>
        <v>(2) Provided by TWIA</v>
      </c>
      <c r="K31" s="2"/>
    </row>
    <row r="32" spans="1:12" x14ac:dyDescent="0.2">
      <c r="A32" s="60"/>
      <c r="B32" s="22" t="str">
        <f>D12&amp;" Provided by TWIA"</f>
        <v>(3) Provided by TWIA</v>
      </c>
      <c r="K32" s="2"/>
    </row>
    <row r="33" spans="1:11" x14ac:dyDescent="0.2">
      <c r="A33" s="60"/>
      <c r="B33" s="22" t="str">
        <f>E12&amp;" = "&amp;C12&amp;" * "&amp;D12</f>
        <v>(4) = (2) * (3)</v>
      </c>
      <c r="K33" s="2"/>
    </row>
    <row r="34" spans="1:11" x14ac:dyDescent="0.2"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ht="12" thickBot="1" x14ac:dyDescent="0.25">
      <c r="K63" s="2"/>
    </row>
    <row r="64" spans="1:11" ht="12" thickBot="1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tabColor rgb="FF92D050"/>
  </sheetPr>
  <dimension ref="A1:L68"/>
  <sheetViews>
    <sheetView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174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184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186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D8" s="25"/>
      <c r="K8" s="2"/>
    </row>
    <row r="9" spans="1:12" x14ac:dyDescent="0.2">
      <c r="C9" s="22"/>
      <c r="D9" t="s">
        <v>37</v>
      </c>
      <c r="E9" t="s">
        <v>44</v>
      </c>
      <c r="K9" s="2"/>
      <c r="L9" s="27"/>
    </row>
    <row r="10" spans="1:12" x14ac:dyDescent="0.2">
      <c r="C10" t="s">
        <v>327</v>
      </c>
      <c r="D10" t="s">
        <v>329</v>
      </c>
      <c r="E10" t="s">
        <v>42</v>
      </c>
      <c r="K10" s="2"/>
    </row>
    <row r="11" spans="1:12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tr">
        <f t="shared" ref="A14:A23" si="0">TEXT(A15-1,"#")</f>
        <v>2009</v>
      </c>
      <c r="B14" s="25"/>
      <c r="C14" s="82">
        <f>'[3]TICO 2'!Q23</f>
        <v>116551972</v>
      </c>
      <c r="D14" s="213">
        <f>'10.2'!D15</f>
        <v>1.4987056675771686</v>
      </c>
      <c r="E14" s="31">
        <f t="shared" ref="E14:E22" si="1">ROUND(C14*D14,0)</f>
        <v>174677101</v>
      </c>
      <c r="K14" s="2"/>
      <c r="L14" s="35"/>
    </row>
    <row r="15" spans="1:12" x14ac:dyDescent="0.2">
      <c r="A15" t="str">
        <f t="shared" si="0"/>
        <v>2010</v>
      </c>
      <c r="B15" s="25"/>
      <c r="C15" s="82">
        <f>'[3]TICO 2'!Q24</f>
        <v>131679293</v>
      </c>
      <c r="D15" s="213">
        <f>'10.2'!D16</f>
        <v>1.4074808531397425</v>
      </c>
      <c r="E15" s="31">
        <f t="shared" si="1"/>
        <v>185336084</v>
      </c>
      <c r="K15" s="2"/>
      <c r="L15" s="35"/>
    </row>
    <row r="16" spans="1:12" x14ac:dyDescent="0.2">
      <c r="A16" t="str">
        <f t="shared" si="0"/>
        <v>2011</v>
      </c>
      <c r="B16" s="25"/>
      <c r="C16" s="82">
        <f>'[3]TICO 2'!Q25</f>
        <v>140621661</v>
      </c>
      <c r="D16" s="213">
        <f>'10.2'!D17</f>
        <v>1.3727166755238378</v>
      </c>
      <c r="E16" s="31">
        <f t="shared" si="1"/>
        <v>193033699</v>
      </c>
      <c r="K16" s="2"/>
      <c r="L16" s="35"/>
    </row>
    <row r="17" spans="1:12" x14ac:dyDescent="0.2">
      <c r="A17" t="str">
        <f t="shared" si="0"/>
        <v>2012</v>
      </c>
      <c r="B17" s="25"/>
      <c r="C17" s="82">
        <f>'[3]TICO 2'!Q26</f>
        <v>160031435</v>
      </c>
      <c r="D17" s="213">
        <f>'10.2'!D18</f>
        <v>1.3073731976777445</v>
      </c>
      <c r="E17" s="31">
        <f t="shared" si="1"/>
        <v>209220809</v>
      </c>
      <c r="K17" s="2"/>
      <c r="L17" s="35"/>
    </row>
    <row r="18" spans="1:12" x14ac:dyDescent="0.2">
      <c r="A18" t="str">
        <f t="shared" si="0"/>
        <v>2013</v>
      </c>
      <c r="B18" s="25"/>
      <c r="C18" s="82">
        <f>'[3]TICO 2'!Q27</f>
        <v>173209952</v>
      </c>
      <c r="D18" s="213">
        <f>'10.2'!D19</f>
        <v>1.2452851041347781</v>
      </c>
      <c r="E18" s="31">
        <f t="shared" si="1"/>
        <v>215695773</v>
      </c>
      <c r="K18" s="2"/>
      <c r="L18" s="35"/>
    </row>
    <row r="19" spans="1:12" x14ac:dyDescent="0.2">
      <c r="A19" t="str">
        <f t="shared" si="0"/>
        <v>2014</v>
      </c>
      <c r="B19" s="25"/>
      <c r="C19" s="82">
        <f>'[3]TICO 2'!Q28</f>
        <v>187152484</v>
      </c>
      <c r="D19" s="213">
        <f>'10.2'!D20</f>
        <v>1.1862347753925764</v>
      </c>
      <c r="E19" s="31">
        <f t="shared" si="1"/>
        <v>222006785</v>
      </c>
      <c r="K19" s="2"/>
      <c r="L19" s="35"/>
    </row>
    <row r="20" spans="1:12" x14ac:dyDescent="0.2">
      <c r="A20" t="str">
        <f t="shared" si="0"/>
        <v>2015</v>
      </c>
      <c r="B20" s="25"/>
      <c r="C20" s="82">
        <f>'[3]TICO 2'!Q29</f>
        <v>200595693</v>
      </c>
      <c r="D20" s="213">
        <f>'10.2'!D21</f>
        <v>1.1299661810216541</v>
      </c>
      <c r="E20" s="31">
        <f t="shared" si="1"/>
        <v>226666349</v>
      </c>
      <c r="K20" s="2"/>
      <c r="L20" s="35"/>
    </row>
    <row r="21" spans="1:12" x14ac:dyDescent="0.2">
      <c r="A21" t="str">
        <f t="shared" si="0"/>
        <v>2016</v>
      </c>
      <c r="B21" s="25"/>
      <c r="C21" s="82">
        <f>'[3]TICO 2'!Q30</f>
        <v>200978477</v>
      </c>
      <c r="D21" s="213">
        <f>'10.2'!D22</f>
        <v>1.0765597532120244</v>
      </c>
      <c r="E21" s="31">
        <f t="shared" si="1"/>
        <v>216365340</v>
      </c>
      <c r="K21" s="2"/>
      <c r="L21" s="35" t="s">
        <v>216</v>
      </c>
    </row>
    <row r="22" spans="1:12" x14ac:dyDescent="0.2">
      <c r="A22" t="str">
        <f t="shared" si="0"/>
        <v>2017</v>
      </c>
      <c r="B22" s="25"/>
      <c r="C22" s="82">
        <f>'[3]TICO 2'!Q31</f>
        <v>188554673</v>
      </c>
      <c r="D22" s="213">
        <f>'10.2'!D23</f>
        <v>1.0500000000000014</v>
      </c>
      <c r="E22" s="31">
        <f t="shared" si="1"/>
        <v>197982407</v>
      </c>
      <c r="K22" s="2"/>
      <c r="L22" s="52">
        <f>'10.1a'!$L$22</f>
        <v>43738</v>
      </c>
    </row>
    <row r="23" spans="1:12" x14ac:dyDescent="0.2">
      <c r="A23" t="str">
        <f t="shared" si="0"/>
        <v>2018</v>
      </c>
      <c r="B23" s="25"/>
      <c r="C23" s="82">
        <f>'[3]TICO 2'!Q32</f>
        <v>166829909</v>
      </c>
      <c r="D23" s="213">
        <f>'10.2'!D24</f>
        <v>1.0255439472483592</v>
      </c>
      <c r="E23" s="31">
        <f>ROUND(C23*D23,0)</f>
        <v>171091403</v>
      </c>
      <c r="K23" s="2"/>
      <c r="L23" s="52"/>
    </row>
    <row r="24" spans="1:12" x14ac:dyDescent="0.2">
      <c r="A24" s="25" t="str">
        <f>TEXT(YEAR($L$22),"#")</f>
        <v>2019</v>
      </c>
      <c r="B24" s="25"/>
      <c r="C24" s="82">
        <f>'[3]TICO 2'!Q33</f>
        <v>151980115</v>
      </c>
      <c r="D24" s="213">
        <f>'10.2'!D25</f>
        <v>0.999999999999997</v>
      </c>
      <c r="E24" s="31">
        <f>ROUND(C24*D24,0)</f>
        <v>151980115</v>
      </c>
      <c r="K24" s="2"/>
      <c r="L24" s="52"/>
    </row>
    <row r="25" spans="1:12" x14ac:dyDescent="0.2">
      <c r="A25" s="9"/>
      <c r="B25" s="26"/>
      <c r="C25" s="83"/>
      <c r="D25" s="37"/>
      <c r="E25" s="68"/>
      <c r="K25" s="2"/>
    </row>
    <row r="26" spans="1:12" x14ac:dyDescent="0.2">
      <c r="C26" s="19"/>
      <c r="K26" s="2"/>
    </row>
    <row r="27" spans="1:12" x14ac:dyDescent="0.2">
      <c r="A27" t="s">
        <v>9</v>
      </c>
      <c r="C27" s="19">
        <f>SUM(C14:C25)</f>
        <v>1818185664</v>
      </c>
      <c r="E27" s="19">
        <f>SUM(E14:E25)</f>
        <v>2164055865</v>
      </c>
      <c r="K27" s="2"/>
    </row>
    <row r="28" spans="1:12" ht="12" thickBot="1" x14ac:dyDescent="0.25">
      <c r="A28" s="6"/>
      <c r="B28" s="6"/>
      <c r="C28" s="6"/>
      <c r="D28" s="6"/>
      <c r="E28" s="6"/>
      <c r="K28" s="2"/>
    </row>
    <row r="29" spans="1:12" ht="12" thickTop="1" x14ac:dyDescent="0.2">
      <c r="K29" s="2"/>
    </row>
    <row r="30" spans="1:12" x14ac:dyDescent="0.2">
      <c r="A30" t="s">
        <v>17</v>
      </c>
      <c r="K30" s="2"/>
    </row>
    <row r="31" spans="1:12" x14ac:dyDescent="0.2">
      <c r="B31" s="22" t="str">
        <f>C12&amp;" Provided by TWIA"</f>
        <v>(2) Provided by TWIA</v>
      </c>
      <c r="K31" s="2"/>
    </row>
    <row r="32" spans="1:12" x14ac:dyDescent="0.2">
      <c r="A32" s="60"/>
      <c r="B32" s="22" t="str">
        <f>D12&amp;" Provided by TWIA"</f>
        <v>(3) Provided by TWIA</v>
      </c>
      <c r="K32" s="2"/>
    </row>
    <row r="33" spans="2:11" x14ac:dyDescent="0.2">
      <c r="B33" s="22" t="str">
        <f>E12&amp;" = "&amp;C12&amp;" * "&amp;D12</f>
        <v>(4) = (2) * (3)</v>
      </c>
      <c r="K33" s="2"/>
    </row>
    <row r="34" spans="2:11" x14ac:dyDescent="0.2"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92D050"/>
  </sheetPr>
  <dimension ref="A1:O68"/>
  <sheetViews>
    <sheetView showGridLines="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174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186</v>
      </c>
      <c r="B4" s="12"/>
      <c r="K4" s="2"/>
    </row>
    <row r="5" spans="1:12" x14ac:dyDescent="0.2">
      <c r="A5" t="s">
        <v>50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210"/>
      <c r="E7" s="6"/>
      <c r="K7" s="2"/>
    </row>
    <row r="8" spans="1:12" ht="12" thickTop="1" x14ac:dyDescent="0.2">
      <c r="D8" s="25"/>
      <c r="K8" s="2"/>
    </row>
    <row r="9" spans="1:12" x14ac:dyDescent="0.2">
      <c r="C9" s="22"/>
      <c r="D9" t="s">
        <v>37</v>
      </c>
      <c r="E9" t="s">
        <v>44</v>
      </c>
      <c r="K9" s="2"/>
      <c r="L9" s="27"/>
    </row>
    <row r="10" spans="1:12" x14ac:dyDescent="0.2">
      <c r="C10" t="s">
        <v>327</v>
      </c>
      <c r="D10" t="s">
        <v>329</v>
      </c>
      <c r="E10" t="s">
        <v>42</v>
      </c>
      <c r="K10" s="2"/>
    </row>
    <row r="11" spans="1:12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3" si="0">TEXT(A15-1,"#")</f>
        <v>2009</v>
      </c>
      <c r="B14" s="25"/>
      <c r="C14" s="82">
        <f>'[3]TICO 2'!R23</f>
        <v>2218368</v>
      </c>
      <c r="D14" s="213">
        <f>'10.2'!D15</f>
        <v>1.4987056675771686</v>
      </c>
      <c r="E14" s="31">
        <f>ROUND(C14*D14,0)</f>
        <v>3324681</v>
      </c>
      <c r="K14" s="2"/>
      <c r="L14" s="35"/>
    </row>
    <row r="15" spans="1:12" x14ac:dyDescent="0.2">
      <c r="A15" t="str">
        <f t="shared" si="0"/>
        <v>2010</v>
      </c>
      <c r="B15" s="25"/>
      <c r="C15" s="82">
        <f>'[3]TICO 2'!R24</f>
        <v>2562327</v>
      </c>
      <c r="D15" s="213">
        <f>'10.2'!D16</f>
        <v>1.4074808531397425</v>
      </c>
      <c r="E15" s="31">
        <f t="shared" ref="E15:E22" si="1">ROUND(C15*D15,0)</f>
        <v>3606426</v>
      </c>
      <c r="K15" s="2"/>
      <c r="L15" s="35"/>
    </row>
    <row r="16" spans="1:12" x14ac:dyDescent="0.2">
      <c r="A16" t="str">
        <f t="shared" si="0"/>
        <v>2011</v>
      </c>
      <c r="B16" s="25"/>
      <c r="C16" s="82">
        <f>'[3]TICO 2'!R25</f>
        <v>2825372</v>
      </c>
      <c r="D16" s="213">
        <f>'10.2'!D17</f>
        <v>1.3727166755238378</v>
      </c>
      <c r="E16" s="31">
        <f t="shared" si="1"/>
        <v>3878435</v>
      </c>
      <c r="K16" s="2"/>
      <c r="L16" s="35"/>
    </row>
    <row r="17" spans="1:15" x14ac:dyDescent="0.2">
      <c r="A17" t="str">
        <f t="shared" si="0"/>
        <v>2012</v>
      </c>
      <c r="B17" s="25"/>
      <c r="C17" s="82">
        <f>'[3]TICO 2'!R26</f>
        <v>3294072</v>
      </c>
      <c r="D17" s="213">
        <f>'10.2'!D18</f>
        <v>1.3073731976777445</v>
      </c>
      <c r="E17" s="31">
        <f t="shared" si="1"/>
        <v>4306581</v>
      </c>
      <c r="K17" s="2"/>
      <c r="L17" s="35"/>
    </row>
    <row r="18" spans="1:15" x14ac:dyDescent="0.2">
      <c r="A18" t="str">
        <f t="shared" si="0"/>
        <v>2013</v>
      </c>
      <c r="B18" s="25"/>
      <c r="C18" s="82">
        <f>'[3]TICO 2'!R27</f>
        <v>3672814</v>
      </c>
      <c r="D18" s="213">
        <f>'10.2'!D19</f>
        <v>1.2452851041347781</v>
      </c>
      <c r="E18" s="31">
        <f t="shared" si="1"/>
        <v>4573701</v>
      </c>
      <c r="K18" s="2"/>
      <c r="L18" s="35"/>
    </row>
    <row r="19" spans="1:15" x14ac:dyDescent="0.2">
      <c r="A19" t="str">
        <f t="shared" si="0"/>
        <v>2014</v>
      </c>
      <c r="B19" s="25"/>
      <c r="C19" s="82">
        <f>'[3]TICO 2'!R28</f>
        <v>3920276</v>
      </c>
      <c r="D19" s="213">
        <f>'10.2'!D20</f>
        <v>1.1862347753925764</v>
      </c>
      <c r="E19" s="31">
        <f t="shared" si="1"/>
        <v>4650368</v>
      </c>
      <c r="K19" s="2"/>
      <c r="L19" s="35"/>
    </row>
    <row r="20" spans="1:15" x14ac:dyDescent="0.2">
      <c r="A20" t="str">
        <f t="shared" si="0"/>
        <v>2015</v>
      </c>
      <c r="B20" s="25"/>
      <c r="C20" s="82">
        <f>'[3]TICO 2'!R29</f>
        <v>4202726</v>
      </c>
      <c r="D20" s="213">
        <f>'10.2'!D21</f>
        <v>1.1299661810216541</v>
      </c>
      <c r="E20" s="31">
        <f t="shared" si="1"/>
        <v>4748938</v>
      </c>
      <c r="K20" s="2"/>
      <c r="L20" s="35"/>
    </row>
    <row r="21" spans="1:15" x14ac:dyDescent="0.2">
      <c r="A21" t="str">
        <f t="shared" si="0"/>
        <v>2016</v>
      </c>
      <c r="B21" s="25"/>
      <c r="C21" s="82">
        <f>'[3]TICO 2'!R30</f>
        <v>4436708</v>
      </c>
      <c r="D21" s="213">
        <f>'10.2'!D22</f>
        <v>1.0765597532120244</v>
      </c>
      <c r="E21" s="31">
        <f t="shared" si="1"/>
        <v>4776381</v>
      </c>
      <c r="K21" s="2"/>
      <c r="L21" s="35" t="s">
        <v>216</v>
      </c>
    </row>
    <row r="22" spans="1:15" x14ac:dyDescent="0.2">
      <c r="A22" t="str">
        <f t="shared" si="0"/>
        <v>2017</v>
      </c>
      <c r="B22" s="25"/>
      <c r="C22" s="82">
        <f>'[3]TICO 2'!R31</f>
        <v>4435808</v>
      </c>
      <c r="D22" s="213">
        <f>'10.2'!D23</f>
        <v>1.0500000000000014</v>
      </c>
      <c r="E22" s="31">
        <f t="shared" si="1"/>
        <v>4657598</v>
      </c>
      <c r="K22" s="2"/>
      <c r="L22" s="52">
        <f>'10.1a'!$L$22</f>
        <v>43738</v>
      </c>
    </row>
    <row r="23" spans="1:15" x14ac:dyDescent="0.2">
      <c r="A23" t="str">
        <f t="shared" si="0"/>
        <v>2018</v>
      </c>
      <c r="B23" s="25"/>
      <c r="C23" s="82">
        <f>'[3]TICO 2'!R32</f>
        <v>4301050</v>
      </c>
      <c r="D23" s="213">
        <f>'10.2'!D24</f>
        <v>1.0255439472483592</v>
      </c>
      <c r="E23" s="31">
        <f>ROUND(C23*D23,0)</f>
        <v>4410916</v>
      </c>
      <c r="K23" s="2"/>
      <c r="L23" s="52"/>
      <c r="O23" s="19">
        <f>C23+'10.1c'!C23+'10.1b'!C23+'10.1a'!C23</f>
        <v>347747840</v>
      </c>
    </row>
    <row r="24" spans="1:15" x14ac:dyDescent="0.2">
      <c r="A24" s="25" t="str">
        <f>TEXT(YEAR($L$22),"#")</f>
        <v>2019</v>
      </c>
      <c r="B24" s="25"/>
      <c r="C24" s="82">
        <f>'[3]TICO 2'!R33</f>
        <v>4296061</v>
      </c>
      <c r="D24" s="213">
        <f>'10.2'!D25</f>
        <v>0.999999999999997</v>
      </c>
      <c r="E24" s="31">
        <f>ROUND(C24*D24,0)</f>
        <v>4296061</v>
      </c>
      <c r="K24" s="2"/>
      <c r="L24" s="52"/>
      <c r="O24" s="19"/>
    </row>
    <row r="25" spans="1:15" x14ac:dyDescent="0.2">
      <c r="A25" s="9"/>
      <c r="B25" s="26"/>
      <c r="C25" s="83"/>
      <c r="D25" s="212"/>
      <c r="E25" s="68"/>
      <c r="K25" s="2"/>
    </row>
    <row r="26" spans="1:15" x14ac:dyDescent="0.2">
      <c r="C26" s="19"/>
      <c r="K26" s="2"/>
    </row>
    <row r="27" spans="1:15" x14ac:dyDescent="0.2">
      <c r="A27" t="s">
        <v>9</v>
      </c>
      <c r="C27" s="19">
        <f>SUM(C14:C25)</f>
        <v>40165582</v>
      </c>
      <c r="E27" s="19">
        <f>SUM(E14:E25)</f>
        <v>47230086</v>
      </c>
      <c r="K27" s="2"/>
    </row>
    <row r="28" spans="1:15" ht="12" thickBot="1" x14ac:dyDescent="0.25">
      <c r="A28" s="6"/>
      <c r="B28" s="6"/>
      <c r="C28" s="6"/>
      <c r="D28" s="210"/>
      <c r="E28" s="6"/>
      <c r="K28" s="2"/>
    </row>
    <row r="29" spans="1:15" ht="12" thickTop="1" x14ac:dyDescent="0.2">
      <c r="K29" s="2"/>
    </row>
    <row r="30" spans="1:15" x14ac:dyDescent="0.2">
      <c r="A30" t="s">
        <v>17</v>
      </c>
      <c r="K30" s="2"/>
    </row>
    <row r="31" spans="1:15" x14ac:dyDescent="0.2">
      <c r="B31" s="22" t="str">
        <f>C12&amp;" Provided by TWIA"</f>
        <v>(2) Provided by TWIA</v>
      </c>
      <c r="K31" s="2"/>
    </row>
    <row r="32" spans="1:15" x14ac:dyDescent="0.2">
      <c r="B32" s="22" t="str">
        <f>D12&amp;" Provided by TWIA"</f>
        <v>(3) Provided by TWIA</v>
      </c>
      <c r="K32" s="2"/>
    </row>
    <row r="33" spans="1:11" x14ac:dyDescent="0.2">
      <c r="B33" s="22" t="str">
        <f>E12&amp;" = "&amp;C12&amp;" * "&amp;D12</f>
        <v>(4) = (2) * (3)</v>
      </c>
      <c r="K33" s="2"/>
    </row>
    <row r="34" spans="1:11" x14ac:dyDescent="0.2">
      <c r="A34" s="60"/>
      <c r="B34" s="25"/>
      <c r="K34" s="2"/>
    </row>
    <row r="35" spans="1:11" x14ac:dyDescent="0.2">
      <c r="B35" s="25"/>
      <c r="K35" s="2"/>
    </row>
    <row r="36" spans="1:11" x14ac:dyDescent="0.2">
      <c r="B36" s="22"/>
      <c r="K36" s="2"/>
    </row>
    <row r="37" spans="1:11" x14ac:dyDescent="0.2">
      <c r="B37" s="22"/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211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tabColor rgb="FF92D050"/>
  </sheetPr>
  <dimension ref="A1:L70"/>
  <sheetViews>
    <sheetView showGridLines="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1" x14ac:dyDescent="0.2">
      <c r="A1" s="8" t="str">
        <f>'1'!$A$1</f>
        <v>Texas Windstorm Insurance Association</v>
      </c>
      <c r="B1" s="12"/>
      <c r="J1" s="7" t="s">
        <v>174</v>
      </c>
      <c r="K1" s="1"/>
    </row>
    <row r="2" spans="1:11" x14ac:dyDescent="0.2">
      <c r="A2" s="8" t="str">
        <f>'1'!$A$2</f>
        <v>Residential Property - Wind &amp; Hail</v>
      </c>
      <c r="B2" s="12"/>
      <c r="J2" s="7" t="s">
        <v>85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186</v>
      </c>
      <c r="B4" s="12"/>
      <c r="K4" s="2"/>
    </row>
    <row r="5" spans="1:11" x14ac:dyDescent="0.2">
      <c r="B5" s="12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210"/>
      <c r="E7" s="6"/>
      <c r="K7" s="2"/>
    </row>
    <row r="8" spans="1:11" ht="12" thickTop="1" x14ac:dyDescent="0.2">
      <c r="K8" s="2"/>
    </row>
    <row r="9" spans="1:11" x14ac:dyDescent="0.2">
      <c r="C9" s="22" t="s">
        <v>44</v>
      </c>
      <c r="D9" s="214" t="s">
        <v>37</v>
      </c>
      <c r="E9" t="s">
        <v>44</v>
      </c>
      <c r="K9" s="2"/>
    </row>
    <row r="10" spans="1:11" x14ac:dyDescent="0.2">
      <c r="C10" t="s">
        <v>334</v>
      </c>
      <c r="D10" s="214" t="s">
        <v>329</v>
      </c>
      <c r="E10" t="s">
        <v>42</v>
      </c>
      <c r="K10" s="2"/>
    </row>
    <row r="11" spans="1:11" x14ac:dyDescent="0.2">
      <c r="A11" s="9" t="s">
        <v>54</v>
      </c>
      <c r="B11" s="9"/>
      <c r="C11" s="9" t="s">
        <v>182</v>
      </c>
      <c r="D11" s="215" t="s">
        <v>137</v>
      </c>
      <c r="E11" s="9" t="s">
        <v>137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1" x14ac:dyDescent="0.2">
      <c r="K13" s="2"/>
    </row>
    <row r="14" spans="1:11" x14ac:dyDescent="0.2">
      <c r="A14" s="248">
        <v>2008</v>
      </c>
      <c r="B14" s="25"/>
      <c r="C14" s="103">
        <f>'[3]TWIA 5'!G254</f>
        <v>219412771.41374999</v>
      </c>
      <c r="D14" s="286">
        <f t="shared" ref="D14:D24" si="0">E14/C14</f>
        <v>1.6495345789525933</v>
      </c>
      <c r="E14" s="103">
        <f>'[3]TWIA 5'!$O254</f>
        <v>361928953.51080167</v>
      </c>
      <c r="F14" s="308"/>
      <c r="K14" s="2"/>
    </row>
    <row r="15" spans="1:11" x14ac:dyDescent="0.2">
      <c r="A15" s="248">
        <v>2009</v>
      </c>
      <c r="B15" s="25"/>
      <c r="C15" s="103">
        <f>'[3]TWIA 5'!G255</f>
        <v>250693787.58916676</v>
      </c>
      <c r="D15" s="286">
        <f t="shared" si="0"/>
        <v>1.4987056675771686</v>
      </c>
      <c r="E15" s="103">
        <f>'[3]TWIA 5'!$O255</f>
        <v>375716200.2862711</v>
      </c>
      <c r="F15" s="308"/>
      <c r="K15" s="2"/>
    </row>
    <row r="16" spans="1:11" x14ac:dyDescent="0.2">
      <c r="A16" s="248">
        <v>2010</v>
      </c>
      <c r="B16" s="25"/>
      <c r="C16" s="103">
        <f>'[3]TWIA 5'!G256</f>
        <v>273154916.13250005</v>
      </c>
      <c r="D16" s="286">
        <f t="shared" si="0"/>
        <v>1.4074808531397425</v>
      </c>
      <c r="E16" s="103">
        <f>'[3]TWIA 5'!$O256</f>
        <v>384460314.39748597</v>
      </c>
      <c r="F16" s="308"/>
      <c r="K16" s="2"/>
    </row>
    <row r="17" spans="1:12" x14ac:dyDescent="0.2">
      <c r="A17" s="248">
        <v>2011</v>
      </c>
      <c r="B17" s="25"/>
      <c r="C17" s="103">
        <f>'[3]TWIA 5'!G257</f>
        <v>292239326.51041698</v>
      </c>
      <c r="D17" s="286">
        <f t="shared" si="0"/>
        <v>1.3727166755238378</v>
      </c>
      <c r="E17" s="103">
        <f>'[3]TWIA 5'!$O257</f>
        <v>401161796.74470496</v>
      </c>
      <c r="F17" s="308"/>
      <c r="K17" s="2"/>
    </row>
    <row r="18" spans="1:12" x14ac:dyDescent="0.2">
      <c r="A18" s="248">
        <v>2012</v>
      </c>
      <c r="B18" s="25"/>
      <c r="C18" s="103">
        <f>'[3]TWIA 5'!G258</f>
        <v>323323868.9816668</v>
      </c>
      <c r="D18" s="286">
        <f t="shared" si="0"/>
        <v>1.3073731976777445</v>
      </c>
      <c r="E18" s="103">
        <f>'[3]TWIA 5'!$O258</f>
        <v>422704960.47610188</v>
      </c>
      <c r="F18" s="308"/>
      <c r="K18" s="2"/>
    </row>
    <row r="19" spans="1:12" x14ac:dyDescent="0.2">
      <c r="A19" s="248">
        <v>2013</v>
      </c>
      <c r="B19" s="25"/>
      <c r="C19" s="103">
        <f>'[3]TWIA 5'!G259</f>
        <v>346955938.10791636</v>
      </c>
      <c r="D19" s="286">
        <f t="shared" si="0"/>
        <v>1.2452851041347781</v>
      </c>
      <c r="E19" s="103">
        <f>'[3]TWIA 5'!$O259</f>
        <v>432059061.51689625</v>
      </c>
      <c r="F19" s="308"/>
      <c r="K19" s="2"/>
    </row>
    <row r="20" spans="1:12" x14ac:dyDescent="0.2">
      <c r="A20" s="248">
        <v>2014</v>
      </c>
      <c r="B20" s="25"/>
      <c r="C20" s="103">
        <f>'[3]TWIA 5'!G260</f>
        <v>372022088.97291589</v>
      </c>
      <c r="D20" s="286">
        <f t="shared" si="0"/>
        <v>1.1862347753925764</v>
      </c>
      <c r="E20" s="103">
        <f>'[3]TWIA 5'!$O260</f>
        <v>441305539.15386391</v>
      </c>
      <c r="F20" s="308"/>
      <c r="K20" s="2"/>
    </row>
    <row r="21" spans="1:12" x14ac:dyDescent="0.2">
      <c r="A21" s="248">
        <v>2015</v>
      </c>
      <c r="B21" s="25"/>
      <c r="C21" s="103">
        <f>'[3]TWIA 5'!G261</f>
        <v>403803905.31166744</v>
      </c>
      <c r="D21" s="286">
        <f t="shared" si="0"/>
        <v>1.1299661810216541</v>
      </c>
      <c r="E21" s="103">
        <f>'[3]TWIA 5'!$O261</f>
        <v>456284756.76665449</v>
      </c>
      <c r="F21" s="308"/>
      <c r="K21" s="2"/>
    </row>
    <row r="22" spans="1:12" x14ac:dyDescent="0.2">
      <c r="A22" s="248">
        <v>2016</v>
      </c>
      <c r="B22" s="25"/>
      <c r="C22" s="103">
        <f>'[3]TWIA 5'!G262</f>
        <v>405934589.57833338</v>
      </c>
      <c r="D22" s="286">
        <f t="shared" si="0"/>
        <v>1.0765597532120244</v>
      </c>
      <c r="E22" s="103">
        <f>'[3]TWIA 5'!$O262</f>
        <v>437012841.57667494</v>
      </c>
      <c r="F22" s="308"/>
      <c r="K22" s="2"/>
    </row>
    <row r="23" spans="1:12" x14ac:dyDescent="0.2">
      <c r="A23" s="25">
        <v>2017</v>
      </c>
      <c r="B23" s="25"/>
      <c r="C23" s="103">
        <f>'[3]TWIA 5'!G263</f>
        <v>376421384.29166651</v>
      </c>
      <c r="D23" s="286">
        <f t="shared" si="0"/>
        <v>1.0500000000000014</v>
      </c>
      <c r="E23" s="103">
        <f>'[3]TWIA 5'!$O263</f>
        <v>395242453.50625038</v>
      </c>
      <c r="F23" s="308"/>
      <c r="K23" s="2"/>
    </row>
    <row r="24" spans="1:12" x14ac:dyDescent="0.2">
      <c r="A24" s="51">
        <v>2018</v>
      </c>
      <c r="B24" s="51"/>
      <c r="C24" s="103">
        <f>'[3]TWIA 5'!G264</f>
        <v>341468875.45833349</v>
      </c>
      <c r="D24" s="320">
        <f t="shared" si="0"/>
        <v>1.0255439472483592</v>
      </c>
      <c r="E24" s="103">
        <f>'[3]TWIA 5'!$O264</f>
        <v>350191338.39999771</v>
      </c>
      <c r="F24" s="308"/>
      <c r="K24" s="2"/>
    </row>
    <row r="25" spans="1:12" x14ac:dyDescent="0.2">
      <c r="A25" s="26">
        <v>2019</v>
      </c>
      <c r="B25" s="26"/>
      <c r="C25" s="83">
        <f>'[3]TWIA 5'!G265</f>
        <v>322259385.91666698</v>
      </c>
      <c r="D25" s="291">
        <f t="shared" ref="D25" si="1">E25/C25</f>
        <v>0.999999999999997</v>
      </c>
      <c r="E25" s="83">
        <f>'[3]TWIA 5'!$O265</f>
        <v>322259385.91666603</v>
      </c>
      <c r="F25" s="308"/>
      <c r="K25" s="2"/>
    </row>
    <row r="26" spans="1:12" x14ac:dyDescent="0.2">
      <c r="C26" s="19"/>
      <c r="K26" s="2"/>
      <c r="L26" s="81">
        <v>43830</v>
      </c>
    </row>
    <row r="27" spans="1:12" x14ac:dyDescent="0.2">
      <c r="A27" t="s">
        <v>9</v>
      </c>
      <c r="C27" s="19">
        <f>SUM(C14:C25)</f>
        <v>3927690838.2650008</v>
      </c>
      <c r="E27" s="19">
        <f>SUM(E14:E25)</f>
        <v>4780327602.2523689</v>
      </c>
      <c r="K27" s="2"/>
    </row>
    <row r="28" spans="1:12" ht="12" thickBot="1" x14ac:dyDescent="0.25">
      <c r="A28" s="6"/>
      <c r="B28" s="6"/>
      <c r="C28" s="6"/>
      <c r="D28" s="210"/>
      <c r="E28" s="6"/>
      <c r="K28" s="2"/>
    </row>
    <row r="29" spans="1:12" ht="12" thickTop="1" x14ac:dyDescent="0.2">
      <c r="K29" s="2"/>
    </row>
    <row r="30" spans="1:12" x14ac:dyDescent="0.2">
      <c r="A30" t="s">
        <v>17</v>
      </c>
      <c r="K30" s="2"/>
    </row>
    <row r="31" spans="1:12" x14ac:dyDescent="0.2">
      <c r="B31" s="22" t="str">
        <f>C12&amp;" Provided by TWIA"</f>
        <v>(2) Provided by TWIA</v>
      </c>
      <c r="K31" s="2"/>
    </row>
    <row r="32" spans="1:12" x14ac:dyDescent="0.2">
      <c r="B32" s="22" t="str">
        <f>D12&amp;" Based on historical rate changes"</f>
        <v>(3) Based on historical rate changes</v>
      </c>
      <c r="K32" s="2"/>
    </row>
    <row r="33" spans="2:11" x14ac:dyDescent="0.2">
      <c r="B33" s="22" t="str">
        <f>E12&amp;" = "&amp;C12&amp;" * "&amp;D12</f>
        <v>(4) = (2) * (3)</v>
      </c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B37" s="22"/>
      <c r="K37" s="2"/>
    </row>
    <row r="38" spans="2:11" x14ac:dyDescent="0.2">
      <c r="K38" s="2"/>
    </row>
    <row r="39" spans="2:11" x14ac:dyDescent="0.2">
      <c r="B39" s="25"/>
      <c r="K39" s="2"/>
    </row>
    <row r="40" spans="2:11" x14ac:dyDescent="0.2">
      <c r="B40" s="25"/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ht="12" thickBot="1" x14ac:dyDescent="0.25">
      <c r="K69" s="2"/>
    </row>
    <row r="70" spans="1:11" ht="12" thickBot="1" x14ac:dyDescent="0.25">
      <c r="A70" s="4"/>
      <c r="B70" s="5"/>
      <c r="C70" s="5"/>
      <c r="D70" s="211"/>
      <c r="E70" s="5"/>
      <c r="F70" s="5"/>
      <c r="G70" s="5"/>
      <c r="H70" s="5"/>
      <c r="I70" s="5"/>
      <c r="J70" s="5"/>
      <c r="K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tabColor rgb="FF92D050"/>
  </sheetPr>
  <dimension ref="A1:L68"/>
  <sheetViews>
    <sheetView showGridLines="0" workbookViewId="0"/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7.1640625" customWidth="1"/>
  </cols>
  <sheetData>
    <row r="1" spans="1:12" x14ac:dyDescent="0.2">
      <c r="A1" s="8" t="str">
        <f>'1'!$A$1</f>
        <v>Texas Windstorm Insurance Association</v>
      </c>
      <c r="B1" s="98"/>
      <c r="J1" s="7" t="s">
        <v>180</v>
      </c>
      <c r="K1" s="1"/>
    </row>
    <row r="2" spans="1:12" x14ac:dyDescent="0.2">
      <c r="A2" s="8" t="str">
        <f>'1'!$A$2</f>
        <v>Residential Property - Wind &amp; Hail</v>
      </c>
      <c r="B2" s="98"/>
      <c r="J2" s="7" t="s">
        <v>21</v>
      </c>
      <c r="K2" s="2"/>
    </row>
    <row r="3" spans="1:12" x14ac:dyDescent="0.2">
      <c r="A3" s="8" t="str">
        <f>'1'!$A$3</f>
        <v>Rate Level Review</v>
      </c>
      <c r="B3" s="98"/>
      <c r="J3" s="7"/>
      <c r="K3" s="2"/>
    </row>
    <row r="4" spans="1:12" x14ac:dyDescent="0.2">
      <c r="A4" t="s">
        <v>224</v>
      </c>
      <c r="B4" s="98"/>
      <c r="K4" s="2"/>
    </row>
    <row r="5" spans="1:12" x14ac:dyDescent="0.2">
      <c r="B5" s="9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D9" s="99"/>
      <c r="K9" s="2"/>
      <c r="L9" s="27"/>
    </row>
    <row r="10" spans="1:12" x14ac:dyDescent="0.2">
      <c r="K10" s="2"/>
      <c r="L10" t="s">
        <v>219</v>
      </c>
    </row>
    <row r="11" spans="1:12" x14ac:dyDescent="0.2">
      <c r="A11" s="9" t="s">
        <v>188</v>
      </c>
      <c r="B11" s="9"/>
      <c r="C11" s="9"/>
      <c r="D11" s="185">
        <v>2017</v>
      </c>
      <c r="E11" s="185">
        <v>2018</v>
      </c>
      <c r="F11" s="185">
        <v>2019</v>
      </c>
      <c r="G11" s="9" t="s">
        <v>73</v>
      </c>
      <c r="K11" s="2"/>
      <c r="L11" s="91">
        <v>43830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56" t="s">
        <v>189</v>
      </c>
      <c r="B14" t="s">
        <v>193</v>
      </c>
      <c r="D14" s="95">
        <f>'[5]11.1'!D14</f>
        <v>423074138</v>
      </c>
      <c r="E14" s="95">
        <f>'[5]11.1'!E14</f>
        <v>395551679</v>
      </c>
      <c r="F14" s="95">
        <f>'[5]11.1'!F14</f>
        <v>372016601</v>
      </c>
      <c r="K14" s="2"/>
      <c r="L14" s="100"/>
    </row>
    <row r="15" spans="1:12" x14ac:dyDescent="0.2">
      <c r="A15" s="56" t="s">
        <v>190</v>
      </c>
      <c r="B15" t="s">
        <v>192</v>
      </c>
      <c r="D15" s="82">
        <f>'[5]11.1'!D15</f>
        <v>451347130</v>
      </c>
      <c r="E15" s="82">
        <f>'[5]11.1'!E15</f>
        <v>409954258</v>
      </c>
      <c r="F15" s="82">
        <f>'[5]11.1'!F15</f>
        <v>381571182</v>
      </c>
      <c r="K15" s="2"/>
      <c r="L15" s="100"/>
    </row>
    <row r="16" spans="1:12" x14ac:dyDescent="0.2">
      <c r="K16" s="2"/>
      <c r="L16" s="100"/>
    </row>
    <row r="17" spans="1:12" x14ac:dyDescent="0.2">
      <c r="A17" s="56" t="s">
        <v>191</v>
      </c>
      <c r="B17" t="s">
        <v>194</v>
      </c>
      <c r="K17" s="2"/>
      <c r="L17" s="100"/>
    </row>
    <row r="18" spans="1:12" x14ac:dyDescent="0.2">
      <c r="C18" t="s">
        <v>195</v>
      </c>
      <c r="D18" s="82">
        <f>'[5]11.1'!D18</f>
        <v>67661211</v>
      </c>
      <c r="E18" s="82">
        <f>'[5]11.1'!E18</f>
        <v>63280811</v>
      </c>
      <c r="F18" s="82">
        <f>'[5]11.1'!F18</f>
        <v>59474929</v>
      </c>
      <c r="K18" s="2"/>
      <c r="L18" s="100"/>
    </row>
    <row r="19" spans="1:12" x14ac:dyDescent="0.2">
      <c r="C19" t="s">
        <v>196</v>
      </c>
      <c r="D19" s="29">
        <f>D18/D$14</f>
        <v>0.15992755151580548</v>
      </c>
      <c r="E19" s="29">
        <f>E18/E$14</f>
        <v>0.1599811462309581</v>
      </c>
      <c r="F19" s="20">
        <f>F18/F$14</f>
        <v>0.15987170690804736</v>
      </c>
      <c r="G19" s="94">
        <f>'[5]11.1'!G19</f>
        <v>0.16</v>
      </c>
      <c r="K19" s="2"/>
      <c r="L19" s="100"/>
    </row>
    <row r="20" spans="1:12" x14ac:dyDescent="0.2">
      <c r="D20" s="60"/>
      <c r="E20" s="60"/>
      <c r="K20" s="2"/>
      <c r="L20" s="100"/>
    </row>
    <row r="21" spans="1:12" x14ac:dyDescent="0.2">
      <c r="A21" s="56" t="s">
        <v>141</v>
      </c>
      <c r="B21" t="s">
        <v>197</v>
      </c>
      <c r="D21" s="60"/>
      <c r="E21" s="60"/>
      <c r="K21" s="2"/>
      <c r="L21" s="100"/>
    </row>
    <row r="22" spans="1:12" x14ac:dyDescent="0.2">
      <c r="C22" t="s">
        <v>195</v>
      </c>
      <c r="D22" s="95">
        <f>'[5]11.1'!D22</f>
        <v>0</v>
      </c>
      <c r="E22" s="95">
        <f>'[5]11.1'!E22</f>
        <v>0</v>
      </c>
      <c r="F22" s="95">
        <f>'[5]11.1'!F22</f>
        <v>0</v>
      </c>
      <c r="K22" s="2"/>
      <c r="L22" s="100"/>
    </row>
    <row r="23" spans="1:12" x14ac:dyDescent="0.2">
      <c r="C23" t="s">
        <v>196</v>
      </c>
      <c r="D23" s="29">
        <f>D22/D$14</f>
        <v>0</v>
      </c>
      <c r="E23" s="29">
        <f>E22/E$14</f>
        <v>0</v>
      </c>
      <c r="F23" s="20">
        <f>F22/F$14</f>
        <v>0</v>
      </c>
      <c r="G23" s="94">
        <f>'[5]11.1'!G23</f>
        <v>0</v>
      </c>
      <c r="K23" s="2"/>
      <c r="L23" s="100"/>
    </row>
    <row r="24" spans="1:12" x14ac:dyDescent="0.2">
      <c r="D24" s="60"/>
      <c r="E24" s="60"/>
      <c r="K24" s="2"/>
    </row>
    <row r="25" spans="1:12" x14ac:dyDescent="0.2">
      <c r="A25" s="56" t="s">
        <v>120</v>
      </c>
      <c r="B25" t="s">
        <v>198</v>
      </c>
      <c r="D25" s="60"/>
      <c r="E25" s="60"/>
      <c r="K25" s="2"/>
    </row>
    <row r="26" spans="1:12" x14ac:dyDescent="0.2">
      <c r="C26" t="s">
        <v>199</v>
      </c>
      <c r="D26" s="95">
        <f>'[5]11.1'!D26</f>
        <v>26359831</v>
      </c>
      <c r="E26" s="95">
        <f>'[5]11.1'!E26</f>
        <v>30687177</v>
      </c>
      <c r="F26" s="95">
        <f>'[5]11.1'!F26</f>
        <v>31461936</v>
      </c>
      <c r="K26" s="2"/>
    </row>
    <row r="27" spans="1:12" x14ac:dyDescent="0.2">
      <c r="D27" s="60"/>
      <c r="E27" s="60"/>
      <c r="K27" s="2"/>
    </row>
    <row r="28" spans="1:12" x14ac:dyDescent="0.2">
      <c r="B28" t="s">
        <v>200</v>
      </c>
      <c r="D28" s="60"/>
      <c r="E28" s="60"/>
      <c r="K28" s="2"/>
    </row>
    <row r="29" spans="1:12" x14ac:dyDescent="0.2">
      <c r="C29" t="s">
        <v>201</v>
      </c>
      <c r="D29" s="82">
        <f>'[5]11.1'!D29</f>
        <v>0</v>
      </c>
      <c r="E29" s="82">
        <f>'[5]11.1'!E29</f>
        <v>0</v>
      </c>
      <c r="F29" s="82">
        <f>'[5]11.1'!F29</f>
        <v>0</v>
      </c>
      <c r="K29" s="2"/>
    </row>
    <row r="30" spans="1:12" x14ac:dyDescent="0.2">
      <c r="D30" s="60"/>
      <c r="E30" s="60"/>
      <c r="K30" s="2"/>
    </row>
    <row r="31" spans="1:12" x14ac:dyDescent="0.2">
      <c r="C31" t="s">
        <v>202</v>
      </c>
      <c r="D31" s="31">
        <f>D26-SUM(D29)</f>
        <v>26359831</v>
      </c>
      <c r="E31" s="31">
        <f>E26-SUM(E29)</f>
        <v>30687177</v>
      </c>
      <c r="F31" s="31">
        <f>F26-SUM(F29)</f>
        <v>31461936</v>
      </c>
      <c r="K31" s="2"/>
    </row>
    <row r="32" spans="1:12" x14ac:dyDescent="0.2">
      <c r="B32" s="99"/>
      <c r="C32" s="22" t="s">
        <v>196</v>
      </c>
      <c r="D32" s="29">
        <f>D31/D$14</f>
        <v>6.2305465242122646E-2</v>
      </c>
      <c r="E32" s="29">
        <f>E31/E$14</f>
        <v>7.7580702166606147E-2</v>
      </c>
      <c r="F32" s="29">
        <f>F31/F$14</f>
        <v>8.4571322665248486E-2</v>
      </c>
      <c r="G32" s="94">
        <f>'[5]11.1'!G32</f>
        <v>8.5103714944594525E-2</v>
      </c>
      <c r="K32" s="2"/>
    </row>
    <row r="33" spans="1:11" x14ac:dyDescent="0.2">
      <c r="B33" s="99"/>
      <c r="C33" s="99"/>
      <c r="D33" s="60"/>
      <c r="E33" s="60"/>
      <c r="K33" s="2"/>
    </row>
    <row r="34" spans="1:11" x14ac:dyDescent="0.2">
      <c r="A34" s="56" t="s">
        <v>124</v>
      </c>
      <c r="B34" t="s">
        <v>203</v>
      </c>
      <c r="D34" s="60"/>
      <c r="E34" s="60"/>
      <c r="K34" s="2"/>
    </row>
    <row r="35" spans="1:11" x14ac:dyDescent="0.2">
      <c r="B35" s="25"/>
      <c r="C35" t="s">
        <v>195</v>
      </c>
      <c r="D35" s="95">
        <f>'[5]11.1'!D35</f>
        <v>8281293</v>
      </c>
      <c r="E35" s="95">
        <f>'[5]11.1'!E35</f>
        <v>7590295</v>
      </c>
      <c r="F35" s="95">
        <f>'[5]11.1'!F35</f>
        <v>7024246</v>
      </c>
      <c r="K35" s="2"/>
    </row>
    <row r="36" spans="1:11" x14ac:dyDescent="0.2">
      <c r="B36" s="25"/>
      <c r="C36" t="s">
        <v>196</v>
      </c>
      <c r="D36" s="20">
        <f>D35/D$14</f>
        <v>1.9574094127209448E-2</v>
      </c>
      <c r="E36" s="20">
        <f>E35/E$14</f>
        <v>1.918913609263178E-2</v>
      </c>
      <c r="F36" s="20">
        <f>F35/F$14</f>
        <v>1.8881539106369073E-2</v>
      </c>
      <c r="G36" s="94">
        <f>'[5]11.1'!G36</f>
        <v>1.9E-2</v>
      </c>
      <c r="K36" s="2"/>
    </row>
    <row r="37" spans="1:11" x14ac:dyDescent="0.2">
      <c r="K37" s="2"/>
    </row>
    <row r="38" spans="1:11" x14ac:dyDescent="0.2">
      <c r="A38" s="56" t="s">
        <v>123</v>
      </c>
      <c r="B38" t="s">
        <v>204</v>
      </c>
      <c r="G38" s="94">
        <f>'[5]11.1'!G38</f>
        <v>0.19533574528489203</v>
      </c>
      <c r="K38" s="2"/>
    </row>
    <row r="39" spans="1:11" x14ac:dyDescent="0.2">
      <c r="K39" s="2"/>
    </row>
    <row r="40" spans="1:11" x14ac:dyDescent="0.2">
      <c r="A40" s="274" t="str">
        <f>'[5]11.1'!A40</f>
        <v>(8)</v>
      </c>
      <c r="B40" s="274" t="str">
        <f>'[5]11.1'!B40</f>
        <v>Outstanding Class 1 Public Security Repayment</v>
      </c>
      <c r="C40" s="274"/>
      <c r="D40" s="274"/>
      <c r="E40" s="274"/>
      <c r="F40" s="274"/>
      <c r="G40" s="275">
        <f>'[5]11.1'!G40</f>
        <v>0.19700000000000001</v>
      </c>
      <c r="K40" s="2"/>
    </row>
    <row r="41" spans="1:11" x14ac:dyDescent="0.2">
      <c r="B41" s="99"/>
      <c r="C41" s="99"/>
      <c r="K41" s="2"/>
    </row>
    <row r="42" spans="1:11" x14ac:dyDescent="0.2">
      <c r="A42" s="274" t="str">
        <f>'[5]11.1'!A42</f>
        <v>(9)</v>
      </c>
      <c r="B42" s="274" t="str">
        <f>'[5]11.1'!B42</f>
        <v>Total Fixed Expenses</v>
      </c>
      <c r="C42" s="274"/>
      <c r="D42" s="274"/>
      <c r="E42" s="274"/>
      <c r="F42" s="274"/>
      <c r="G42" s="275">
        <f>'[5]11.1'!G42</f>
        <v>0.47743946022948658</v>
      </c>
      <c r="H42" s="274"/>
      <c r="K42" s="2"/>
    </row>
    <row r="43" spans="1:11" x14ac:dyDescent="0.2">
      <c r="K43" s="2"/>
    </row>
    <row r="44" spans="1:11" x14ac:dyDescent="0.2">
      <c r="A44" s="274" t="str">
        <f>'[5]11.1'!A$44</f>
        <v>(10)</v>
      </c>
      <c r="B44" s="274" t="str">
        <f>'[5]11.1'!B$44</f>
        <v>Total Variable Expenses</v>
      </c>
      <c r="C44" s="274"/>
      <c r="D44" s="274"/>
      <c r="E44" s="274"/>
      <c r="F44" s="274"/>
      <c r="G44" s="275">
        <f>'[5]11.1'!G$44</f>
        <v>0.17899999999999999</v>
      </c>
      <c r="H44" s="274"/>
      <c r="K44" s="2"/>
    </row>
    <row r="45" spans="1:11" x14ac:dyDescent="0.2">
      <c r="G45" s="94"/>
      <c r="K45" s="2"/>
    </row>
    <row r="46" spans="1:11" x14ac:dyDescent="0.2">
      <c r="A46" s="276" t="str">
        <f>'[5]11.1'!A$46</f>
        <v>(11)</v>
      </c>
      <c r="B46" s="276" t="str">
        <f>'[5]11.1'!B$46</f>
        <v>CRTF Contribution &amp; UW Contingency &amp; Uncertainty</v>
      </c>
      <c r="C46" s="276"/>
      <c r="D46" s="276"/>
      <c r="E46" s="276"/>
      <c r="F46" s="276"/>
      <c r="G46" s="277">
        <f>'[5]11.1'!G$46</f>
        <v>0.05</v>
      </c>
      <c r="K46" s="2"/>
    </row>
    <row r="47" spans="1:11" x14ac:dyDescent="0.2">
      <c r="B47" s="99"/>
      <c r="C47" s="99"/>
      <c r="K47" s="2"/>
    </row>
    <row r="48" spans="1:11" x14ac:dyDescent="0.2">
      <c r="A48" s="56" t="s">
        <v>273</v>
      </c>
      <c r="B48" t="s">
        <v>359</v>
      </c>
      <c r="G48" s="20">
        <f>1-G44-G46</f>
        <v>0.77099999999999991</v>
      </c>
      <c r="K48" s="2"/>
    </row>
    <row r="49" spans="1:11" ht="12" thickBot="1" x14ac:dyDescent="0.25">
      <c r="A49" s="6"/>
      <c r="B49" s="6"/>
      <c r="C49" s="6"/>
      <c r="D49" s="6"/>
      <c r="E49" s="6"/>
      <c r="F49" s="6"/>
      <c r="G49" s="6"/>
      <c r="K49" s="2"/>
    </row>
    <row r="50" spans="1:11" ht="12" thickTop="1" x14ac:dyDescent="0.2">
      <c r="K50" s="2"/>
    </row>
    <row r="51" spans="1:11" x14ac:dyDescent="0.2">
      <c r="A51" t="s">
        <v>17</v>
      </c>
      <c r="K51" s="2"/>
    </row>
    <row r="52" spans="1:11" x14ac:dyDescent="0.2">
      <c r="B52" s="276" t="str">
        <f>'[5]11.1'!$B54</f>
        <v>(1) - (6) From TWIA's Statutory Annual Statements and Insurance Expense Exhibits</v>
      </c>
      <c r="K52" s="2"/>
    </row>
    <row r="53" spans="1:11" x14ac:dyDescent="0.2">
      <c r="B53" s="276" t="str">
        <f>'[5]11.1'!$B55</f>
        <v>(7) Exhibit 11, Sheet 2</v>
      </c>
      <c r="K53" s="2"/>
    </row>
    <row r="54" spans="1:11" x14ac:dyDescent="0.2">
      <c r="B54" s="276" t="str">
        <f>'[5]11.1'!$B56</f>
        <v xml:space="preserve">(8) Outstanding Class 1 Public Security issued in 2014, Security depleted due to Hurricane Harvey; </v>
      </c>
      <c r="K54" s="2"/>
    </row>
    <row r="55" spans="1:11" x14ac:dyDescent="0.2">
      <c r="B55" s="276" t="str">
        <f>'[5]11.1'!$B57</f>
        <v>0.197= Annual principal and interest payment $68.9M/Prospective written premium at present rate$350.03M</v>
      </c>
      <c r="K55" s="2"/>
    </row>
    <row r="56" spans="1:11" x14ac:dyDescent="0.2">
      <c r="B56" s="276" t="str">
        <f>'[5]11.1'!$B58</f>
        <v>$350.03M = TWIA 2019 written premium $372,016,601*(1-3%)^2; 3% from Exhibit 11, sheet 2, (3)</v>
      </c>
      <c r="K56" s="2"/>
    </row>
    <row r="57" spans="1:11" x14ac:dyDescent="0.2">
      <c r="B57" s="276" t="str">
        <f>'[5]11.1'!$B59</f>
        <v>(9) = (5) + (7) + (8)</v>
      </c>
      <c r="K57" s="2"/>
    </row>
    <row r="58" spans="1:11" x14ac:dyDescent="0.2">
      <c r="B58" s="276" t="str">
        <f>'[5]11.1'!$B60</f>
        <v>(10) = (3) + (4) + (6)</v>
      </c>
      <c r="K58" s="2"/>
    </row>
    <row r="59" spans="1:11" x14ac:dyDescent="0.2">
      <c r="B59" s="276" t="str">
        <f>'[5]11.1'!$B61</f>
        <v>(11) CRTF contribution selected judgmentally; Class 1 repayment based on projected $80 million in debt service</v>
      </c>
      <c r="K59" s="2"/>
    </row>
    <row r="60" spans="1:11" x14ac:dyDescent="0.2">
      <c r="B60" s="276" t="str">
        <f>'[5]11.1'!$B62</f>
        <v>(12) = 100% - (10) - (11)</v>
      </c>
      <c r="K60" s="2"/>
    </row>
    <row r="61" spans="1:11" x14ac:dyDescent="0.2">
      <c r="K61" s="2"/>
    </row>
    <row r="62" spans="1:11" x14ac:dyDescent="0.2">
      <c r="K62" s="2"/>
    </row>
    <row r="63" spans="1:11" x14ac:dyDescent="0.2">
      <c r="D63" s="38"/>
      <c r="E63" s="38"/>
      <c r="F63" s="38"/>
      <c r="K63" s="2"/>
    </row>
    <row r="64" spans="1:11" x14ac:dyDescent="0.2">
      <c r="G64" s="20"/>
      <c r="K64" s="2"/>
    </row>
    <row r="65" spans="1:11" x14ac:dyDescent="0.2">
      <c r="A65" s="50"/>
      <c r="B65" s="50"/>
      <c r="C65" s="50"/>
      <c r="D65" s="50"/>
      <c r="E65" s="50"/>
      <c r="F65" s="50"/>
      <c r="G65" s="50"/>
      <c r="K65" s="2"/>
    </row>
    <row r="66" spans="1:11" x14ac:dyDescent="0.2">
      <c r="B66" s="99"/>
      <c r="C66" s="99"/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O69"/>
  <sheetViews>
    <sheetView showGridLines="0" workbookViewId="0">
      <selection activeCell="G40" sqref="G40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7" width="11.33203125" style="50" customWidth="1"/>
    <col min="8" max="8" width="10.5" customWidth="1"/>
  </cols>
  <sheetData>
    <row r="1" spans="1:15" x14ac:dyDescent="0.2">
      <c r="A1" s="8" t="str">
        <f>'1'!$A$1</f>
        <v>Texas Windstorm Insurance Association</v>
      </c>
      <c r="C1" s="12"/>
      <c r="H1" s="197" t="s">
        <v>180</v>
      </c>
      <c r="I1" s="1"/>
    </row>
    <row r="2" spans="1:15" x14ac:dyDescent="0.2">
      <c r="A2" s="8" t="str">
        <f>'1'!$A$2</f>
        <v>Residential Property - Wind &amp; Hail</v>
      </c>
      <c r="C2" s="12"/>
      <c r="H2" s="197" t="s">
        <v>85</v>
      </c>
      <c r="I2" s="2"/>
    </row>
    <row r="3" spans="1:15" x14ac:dyDescent="0.2">
      <c r="A3" s="8" t="str">
        <f>'1'!$A$3</f>
        <v>Rate Level Review</v>
      </c>
      <c r="C3" s="12"/>
      <c r="H3" s="7"/>
      <c r="I3" s="2"/>
    </row>
    <row r="4" spans="1:15" x14ac:dyDescent="0.2">
      <c r="A4" t="s">
        <v>303</v>
      </c>
      <c r="C4" s="12"/>
      <c r="I4" s="2"/>
    </row>
    <row r="5" spans="1:15" x14ac:dyDescent="0.2">
      <c r="A5" s="60" t="s">
        <v>304</v>
      </c>
      <c r="C5" s="12"/>
      <c r="I5" s="2"/>
    </row>
    <row r="6" spans="1:15" x14ac:dyDescent="0.2">
      <c r="I6" s="2"/>
    </row>
    <row r="7" spans="1:15" ht="12" thickBot="1" x14ac:dyDescent="0.25">
      <c r="A7" s="6"/>
      <c r="B7" s="6"/>
      <c r="C7" s="6"/>
      <c r="D7" s="6"/>
      <c r="I7" s="2"/>
    </row>
    <row r="8" spans="1:15" ht="12" thickTop="1" x14ac:dyDescent="0.2">
      <c r="I8" s="2"/>
      <c r="J8" t="s">
        <v>305</v>
      </c>
    </row>
    <row r="9" spans="1:15" x14ac:dyDescent="0.2">
      <c r="I9" s="2"/>
      <c r="J9" t="s">
        <v>306</v>
      </c>
      <c r="K9" t="s">
        <v>307</v>
      </c>
      <c r="L9" t="s">
        <v>308</v>
      </c>
    </row>
    <row r="10" spans="1:15" x14ac:dyDescent="0.2">
      <c r="A10" s="56" t="s">
        <v>189</v>
      </c>
      <c r="B10" t="str">
        <f>YEAR($J$10)&amp;" - "&amp;YEAR($K$10)&amp;" Reinsurance Premium"</f>
        <v>2020 - 2021 Reinsurance Premium</v>
      </c>
      <c r="D10" s="92">
        <f>'[5]11.2'!D10</f>
        <v>102066435.825789</v>
      </c>
      <c r="I10" s="2"/>
      <c r="J10" s="84">
        <f>'[5]11.2'!J10</f>
        <v>43983</v>
      </c>
      <c r="K10" s="84">
        <f>'[5]11.2'!K10</f>
        <v>44347</v>
      </c>
      <c r="L10" s="190">
        <f>DATE(YEAR(K10+1),MONTH(K10+1)-6,1)</f>
        <v>44166</v>
      </c>
    </row>
    <row r="11" spans="1:15" x14ac:dyDescent="0.2">
      <c r="I11" s="2"/>
    </row>
    <row r="12" spans="1:15" x14ac:dyDescent="0.2">
      <c r="A12" s="56" t="s">
        <v>309</v>
      </c>
      <c r="B12" t="s">
        <v>310</v>
      </c>
      <c r="I12" s="2"/>
      <c r="J12" t="s">
        <v>311</v>
      </c>
    </row>
    <row r="13" spans="1:15" x14ac:dyDescent="0.2">
      <c r="C13" s="92" t="str">
        <f>'[5]11.2'!C13</f>
        <v>100% of $2100M XS $2100M</v>
      </c>
      <c r="D13" s="92">
        <f>'[5]11.2'!D13</f>
        <v>34140092.867083572</v>
      </c>
      <c r="I13" s="2"/>
      <c r="J13" t="s">
        <v>221</v>
      </c>
      <c r="L13" t="s">
        <v>308</v>
      </c>
    </row>
    <row r="14" spans="1:15" x14ac:dyDescent="0.2">
      <c r="B14" s="22"/>
      <c r="C14" s="22"/>
      <c r="D14" s="60"/>
      <c r="E14" s="45"/>
      <c r="F14" s="45"/>
      <c r="I14" s="2"/>
      <c r="J14" s="86">
        <f>'8.2'!M11</f>
        <v>43799</v>
      </c>
      <c r="L14" s="190">
        <f>J14+1</f>
        <v>43800</v>
      </c>
      <c r="O14" s="217"/>
    </row>
    <row r="15" spans="1:15" x14ac:dyDescent="0.2">
      <c r="B15" s="60"/>
      <c r="C15" s="22" t="s">
        <v>9</v>
      </c>
      <c r="D15" s="33">
        <f>SUM(D13:D13)</f>
        <v>34140092.867083572</v>
      </c>
      <c r="E15" s="45"/>
      <c r="F15" s="45"/>
      <c r="I15" s="2"/>
      <c r="J15" s="96"/>
      <c r="O15" s="217"/>
    </row>
    <row r="16" spans="1:15" x14ac:dyDescent="0.2">
      <c r="B16" s="60"/>
      <c r="C16" s="60"/>
      <c r="D16" s="60"/>
      <c r="E16" s="45"/>
      <c r="F16" s="45"/>
      <c r="I16" s="2"/>
      <c r="O16" s="217"/>
    </row>
    <row r="17" spans="1:15" x14ac:dyDescent="0.2">
      <c r="A17" s="56" t="s">
        <v>313</v>
      </c>
      <c r="B17" t="s">
        <v>314</v>
      </c>
      <c r="I17" s="2"/>
      <c r="J17" t="s">
        <v>312</v>
      </c>
      <c r="O17" s="217"/>
    </row>
    <row r="18" spans="1:15" x14ac:dyDescent="0.2">
      <c r="C18" s="22" t="str">
        <f>C13</f>
        <v>100% of $2100M XS $2100M</v>
      </c>
      <c r="D18" s="92">
        <f>'[5]11.2'!D20</f>
        <v>19828158.497321021</v>
      </c>
      <c r="I18" s="2"/>
      <c r="J18" s="198">
        <f>'[5]11.2'!J18</f>
        <v>0.97</v>
      </c>
      <c r="O18" s="217"/>
    </row>
    <row r="19" spans="1:15" x14ac:dyDescent="0.2">
      <c r="A19" s="56"/>
      <c r="D19" s="31"/>
      <c r="I19" s="2"/>
      <c r="J19" t="s">
        <v>222</v>
      </c>
      <c r="O19" s="217"/>
    </row>
    <row r="20" spans="1:15" x14ac:dyDescent="0.2">
      <c r="B20" s="60"/>
      <c r="C20" s="22" t="s">
        <v>9</v>
      </c>
      <c r="D20" s="33">
        <f>SUM(D18:D18)</f>
        <v>19828158.497321021</v>
      </c>
      <c r="E20" s="45"/>
      <c r="F20" s="45"/>
      <c r="G20" s="45"/>
      <c r="H20" s="60"/>
      <c r="I20" s="2"/>
      <c r="J20" s="97">
        <f>ROUND(YEAR(L10)-YEAR(L14)+(MONTH(L10)-MONTH(L14))/12,3)</f>
        <v>1</v>
      </c>
      <c r="O20" s="217"/>
    </row>
    <row r="21" spans="1:15" x14ac:dyDescent="0.2">
      <c r="B21" s="60"/>
      <c r="C21" s="60"/>
      <c r="D21" s="199"/>
      <c r="E21" s="45"/>
      <c r="F21" s="45"/>
      <c r="G21" s="45"/>
      <c r="H21" s="60"/>
      <c r="I21" s="2"/>
    </row>
    <row r="22" spans="1:15" x14ac:dyDescent="0.2">
      <c r="A22" s="56" t="s">
        <v>316</v>
      </c>
      <c r="B22" t="s">
        <v>317</v>
      </c>
      <c r="C22" s="60"/>
      <c r="D22" s="92">
        <f>'[5]11.2'!D22</f>
        <v>26984125.682202294</v>
      </c>
      <c r="E22" s="45"/>
      <c r="F22" s="45"/>
      <c r="I22" s="2"/>
      <c r="K22" t="s">
        <v>341</v>
      </c>
    </row>
    <row r="23" spans="1:15" x14ac:dyDescent="0.2">
      <c r="I23" s="2"/>
      <c r="K23" t="s">
        <v>211</v>
      </c>
      <c r="L23" t="s">
        <v>210</v>
      </c>
    </row>
    <row r="24" spans="1:15" x14ac:dyDescent="0.2">
      <c r="A24" s="56" t="s">
        <v>191</v>
      </c>
      <c r="B24" t="s">
        <v>319</v>
      </c>
      <c r="D24" s="77">
        <f>J18-1</f>
        <v>-3.0000000000000027E-2</v>
      </c>
      <c r="I24" s="2"/>
      <c r="J24" s="249"/>
      <c r="K24" s="31"/>
      <c r="L24" s="92"/>
    </row>
    <row r="25" spans="1:15" x14ac:dyDescent="0.2">
      <c r="A25" s="60"/>
      <c r="I25" s="2"/>
      <c r="J25" s="56" t="s">
        <v>315</v>
      </c>
      <c r="K25" s="82">
        <f>SUM('[8]TWIA 5'!$O$313:$O$316)</f>
        <v>350191338.40000004</v>
      </c>
      <c r="L25" s="82">
        <f>'[5]11.2'!L25</f>
        <v>62410281</v>
      </c>
      <c r="N25" s="19"/>
    </row>
    <row r="26" spans="1:15" x14ac:dyDescent="0.2">
      <c r="A26" s="56" t="s">
        <v>141</v>
      </c>
      <c r="B26" s="45" t="s">
        <v>320</v>
      </c>
      <c r="D26" s="19">
        <f>ROUND(D22*(1+D24)^J20,0)</f>
        <v>26174602</v>
      </c>
      <c r="I26" s="2"/>
      <c r="J26" t="s">
        <v>318</v>
      </c>
      <c r="K26" s="33"/>
      <c r="L26" s="82"/>
    </row>
    <row r="27" spans="1:15" x14ac:dyDescent="0.2">
      <c r="B27" s="60"/>
      <c r="C27" s="60"/>
      <c r="D27" s="60"/>
      <c r="I27" s="2"/>
    </row>
    <row r="28" spans="1:15" x14ac:dyDescent="0.2">
      <c r="A28" s="66" t="s">
        <v>120</v>
      </c>
      <c r="B28" s="60" t="s">
        <v>321</v>
      </c>
      <c r="C28" s="60"/>
      <c r="D28" s="33">
        <f>D10-D26*J35</f>
        <v>71965643.525789008</v>
      </c>
      <c r="I28" s="2"/>
      <c r="J28" t="s">
        <v>215</v>
      </c>
      <c r="L28" t="s">
        <v>308</v>
      </c>
    </row>
    <row r="29" spans="1:15" x14ac:dyDescent="0.2">
      <c r="I29" s="2"/>
      <c r="J29" s="307">
        <v>43830</v>
      </c>
      <c r="L29" s="190">
        <f>DATE(YEAR(J29+1),MONTH(J29+1)-6,1)</f>
        <v>43647</v>
      </c>
    </row>
    <row r="30" spans="1:15" x14ac:dyDescent="0.2">
      <c r="A30" s="56" t="s">
        <v>124</v>
      </c>
      <c r="B30" s="12" t="str">
        <f>"TWIA "&amp;TEXT(YEAR($J$29),"#")&amp;" Earned Premium at Present Rates"</f>
        <v>TWIA 2019 Earned Premium at Present Rates</v>
      </c>
      <c r="D30" s="31">
        <f>SUM($K$25,$L$25)</f>
        <v>412601619.40000004</v>
      </c>
      <c r="I30" s="2"/>
      <c r="J30" s="60"/>
    </row>
    <row r="31" spans="1:15" x14ac:dyDescent="0.2">
      <c r="A31" s="60"/>
      <c r="B31" s="60"/>
      <c r="C31" s="60"/>
      <c r="D31" s="60"/>
      <c r="E31" s="45"/>
      <c r="F31" s="45"/>
      <c r="G31" s="45"/>
      <c r="H31" s="60"/>
      <c r="I31" s="2"/>
      <c r="J31" s="35"/>
    </row>
    <row r="32" spans="1:15" x14ac:dyDescent="0.2">
      <c r="A32" s="56" t="s">
        <v>123</v>
      </c>
      <c r="B32" t="str">
        <f>YEAR($J$10)&amp;" - "&amp;YEAR($K$10)&amp;" TWIA Prospective Earned Premium at Present Rates"</f>
        <v>2020 - 2021 TWIA Prospective Earned Premium at Present Rates</v>
      </c>
      <c r="C32" s="45"/>
      <c r="D32" s="250">
        <f>'[5]11.2'!$D$32</f>
        <v>368420247</v>
      </c>
      <c r="E32" s="45"/>
      <c r="F32" s="45"/>
      <c r="G32" s="45"/>
      <c r="H32" s="60"/>
      <c r="I32" s="2"/>
      <c r="J32" t="s">
        <v>222</v>
      </c>
    </row>
    <row r="33" spans="1:12" x14ac:dyDescent="0.2">
      <c r="I33" s="2"/>
      <c r="J33" s="97">
        <f>ROUND(YEAR(L10)-YEAR(L29)+(MONTH(L10)-MONTH(L29))/12,3)</f>
        <v>1.417</v>
      </c>
      <c r="L33" s="86"/>
    </row>
    <row r="34" spans="1:12" x14ac:dyDescent="0.2">
      <c r="A34" s="56" t="s">
        <v>122</v>
      </c>
      <c r="B34" t="s">
        <v>322</v>
      </c>
      <c r="D34" s="61">
        <f>'[5]11.2'!$D$34</f>
        <v>0.19533574528489203</v>
      </c>
      <c r="I34" s="2"/>
    </row>
    <row r="35" spans="1:12" ht="12" thickBot="1" x14ac:dyDescent="0.25">
      <c r="A35" s="6"/>
      <c r="B35" s="6"/>
      <c r="C35" s="6"/>
      <c r="D35" s="6"/>
      <c r="I35" s="2"/>
      <c r="J35" s="306">
        <f>1.15</f>
        <v>1.1499999999999999</v>
      </c>
    </row>
    <row r="36" spans="1:12" ht="12" thickTop="1" x14ac:dyDescent="0.2">
      <c r="I36" s="2"/>
    </row>
    <row r="37" spans="1:12" x14ac:dyDescent="0.2">
      <c r="A37" t="s">
        <v>17</v>
      </c>
      <c r="D37" s="45"/>
      <c r="I37" s="2"/>
    </row>
    <row r="38" spans="1:12" x14ac:dyDescent="0.2">
      <c r="B38" t="str">
        <f>A10&amp;" From TWIA reinsurance contract effective "&amp;TEXT($J$10,"m/d/yyyy")&amp;" through "&amp;TEXT($K$10,"m/d/yyyy")</f>
        <v>(1) From TWIA reinsurance contract effective 6/1/2020 through 5/31/2021</v>
      </c>
      <c r="C38" s="22"/>
      <c r="I38" s="2"/>
    </row>
    <row r="39" spans="1:12" x14ac:dyDescent="0.2">
      <c r="B39" s="60" t="str">
        <f>A12&amp;" Provided by Guy Carpenter, based on AIR model using TWIA exposures as of "&amp;TEXT($J$14,"mm/dd/yyyy")&amp;" and adjusted for ALAE"</f>
        <v>(2a) Provided by Guy Carpenter, based on AIR model using TWIA exposures as of 11/30/2019 and adjusted for ALAE</v>
      </c>
      <c r="C39" s="22"/>
      <c r="I39" s="2"/>
    </row>
    <row r="40" spans="1:12" x14ac:dyDescent="0.2">
      <c r="B40" s="60" t="str">
        <f>A17&amp;" Provided by Guy Carpenter, based on RMS model using TWIA exposures as of "&amp;TEXT($J$14,"mm/dd/yyyy")&amp;" and adjusted for ALAE"</f>
        <v>(2b) Provided by Guy Carpenter, based on RMS model using TWIA exposures as of 11/30/2019 and adjusted for ALAE</v>
      </c>
      <c r="C40" s="22"/>
      <c r="I40" s="2"/>
    </row>
    <row r="41" spans="1:12" x14ac:dyDescent="0.2">
      <c r="B41" s="60" t="str">
        <f>A22&amp;" Selected equal to the average of the modeled average annual losses"</f>
        <v>(2c) Selected equal to the average of the modeled average annual losses</v>
      </c>
      <c r="I41" s="2"/>
    </row>
    <row r="42" spans="1:12" x14ac:dyDescent="0.2">
      <c r="B42" s="60" t="str">
        <f>A24&amp;" Selected based on projections communicated to reinsurers"</f>
        <v>(3) Selected based on projections communicated to reinsurers</v>
      </c>
      <c r="I42" s="2"/>
    </row>
    <row r="43" spans="1:12" x14ac:dyDescent="0.2">
      <c r="B43" s="310" t="str">
        <f>'[5]11.2'!$B$43</f>
        <v>(4) = (2c) * [(1+ (3)) ^ 1.000](projected exposure growth from 11/30/2019 to 12/1/2020)</v>
      </c>
      <c r="C43" s="60"/>
      <c r="I43" s="2"/>
    </row>
    <row r="44" spans="1:12" x14ac:dyDescent="0.2">
      <c r="B44" s="60" t="str">
        <f>A28&amp;" = "&amp;A10&amp;" - "&amp;A26&amp;"*"&amp;J35&amp;","&amp;J35&amp;" is the loading for loss adjustment factor"</f>
        <v>(5) = (1) - (4)*1.15,1.15 is the loading for loss adjustment factor</v>
      </c>
      <c r="C44" s="60"/>
      <c r="I44" s="2"/>
    </row>
    <row r="45" spans="1:12" x14ac:dyDescent="0.2">
      <c r="B45" s="200" t="str">
        <f>A30&amp;" = Commercial "&amp;'[5]10.1'!$J$1&amp;", "&amp;'[5]10.1'!$J$2&amp;" + Residential "&amp;'10.2'!$J$1&amp;", "&amp;'10.2'!$J$2&amp;", calendar year ending "&amp;TEXT($J$29,"m/d/yy")</f>
        <v>(6) = Commercial Exhibit 10, Sheet 1 + Residential Exhibit 10, Sheet 2, calendar year ending 12/31/19</v>
      </c>
      <c r="C45" s="22"/>
      <c r="I45" s="2"/>
    </row>
    <row r="46" spans="1:12" x14ac:dyDescent="0.2">
      <c r="A46" s="56"/>
      <c r="B46" s="60" t="str">
        <f>'[5]11.2'!$B$46</f>
        <v>(7) = (6) adjusted for exposure growth trend * [(1+ (3)) ^ 1.417] (projected exposure growth from 7/1/2019 to 12/1/2020)</v>
      </c>
      <c r="C46" s="60"/>
      <c r="D46" s="60"/>
      <c r="E46" s="45"/>
      <c r="F46" s="45"/>
      <c r="G46" s="45"/>
      <c r="H46" s="60"/>
      <c r="I46" s="2"/>
    </row>
    <row r="47" spans="1:12" x14ac:dyDescent="0.2">
      <c r="A47" s="56"/>
      <c r="B47" s="60" t="str">
        <f>A34&amp;" = "&amp;A28&amp;" / "&amp;A32</f>
        <v>(8) = (5) / (7)</v>
      </c>
      <c r="I47" s="2"/>
    </row>
    <row r="48" spans="1:12" x14ac:dyDescent="0.2">
      <c r="A48" s="50"/>
      <c r="B48" s="50"/>
      <c r="C48" s="50"/>
      <c r="D48" s="50"/>
      <c r="I48" s="2"/>
    </row>
    <row r="49" spans="1:9" x14ac:dyDescent="0.2">
      <c r="A49" s="45"/>
      <c r="C49" s="22"/>
      <c r="D49" s="45"/>
      <c r="E49" s="45"/>
      <c r="F49" s="45"/>
      <c r="G49" s="45"/>
      <c r="H49" s="60"/>
      <c r="I49" s="2"/>
    </row>
    <row r="50" spans="1:9" x14ac:dyDescent="0.2">
      <c r="A50" s="60"/>
      <c r="B50" s="60"/>
      <c r="C50" s="22"/>
      <c r="D50" s="92"/>
      <c r="E50" s="45"/>
      <c r="F50" s="45"/>
      <c r="G50" s="45"/>
      <c r="H50" s="60"/>
      <c r="I50" s="2"/>
    </row>
    <row r="51" spans="1:9" x14ac:dyDescent="0.2">
      <c r="C51" s="92"/>
      <c r="D51" s="92"/>
      <c r="E51" s="45"/>
      <c r="F51" s="45"/>
      <c r="I51" s="2"/>
    </row>
    <row r="52" spans="1:9" x14ac:dyDescent="0.2">
      <c r="C52" s="92"/>
      <c r="D52" s="92"/>
      <c r="I52" s="2"/>
    </row>
    <row r="53" spans="1:9" s="60" customFormat="1" x14ac:dyDescent="0.2">
      <c r="A53"/>
      <c r="B53"/>
      <c r="C53" s="22"/>
      <c r="D53" s="92"/>
      <c r="E53" s="50"/>
      <c r="F53" s="50"/>
      <c r="G53" s="50"/>
      <c r="H53"/>
      <c r="I53" s="2"/>
    </row>
    <row r="54" spans="1:9" s="60" customFormat="1" x14ac:dyDescent="0.2">
      <c r="A54" s="56"/>
      <c r="B54"/>
      <c r="C54"/>
      <c r="D54" s="61"/>
      <c r="E54" s="50"/>
      <c r="F54" s="50"/>
      <c r="G54" s="50"/>
      <c r="H54"/>
      <c r="I54" s="2"/>
    </row>
    <row r="55" spans="1:9" s="60" customFormat="1" x14ac:dyDescent="0.2">
      <c r="A55"/>
      <c r="B55"/>
      <c r="C55"/>
      <c r="D55"/>
      <c r="E55" s="50"/>
      <c r="F55" s="50"/>
      <c r="G55" s="50"/>
      <c r="H55"/>
      <c r="I55" s="2"/>
    </row>
    <row r="56" spans="1:9" s="60" customFormat="1" x14ac:dyDescent="0.2">
      <c r="A56" s="56"/>
      <c r="B56"/>
      <c r="C56"/>
      <c r="D56" s="19"/>
      <c r="E56" s="19"/>
      <c r="F56" s="19"/>
      <c r="G56" s="50"/>
      <c r="H56"/>
      <c r="I56" s="2"/>
    </row>
    <row r="57" spans="1:9" s="60" customFormat="1" x14ac:dyDescent="0.2">
      <c r="A57" s="50"/>
      <c r="B57" s="50"/>
      <c r="C57" s="50"/>
      <c r="D57" s="50"/>
      <c r="E57" s="50"/>
      <c r="F57" s="50"/>
      <c r="G57" s="50"/>
      <c r="H57"/>
      <c r="I57" s="2"/>
    </row>
    <row r="58" spans="1:9" s="60" customFormat="1" x14ac:dyDescent="0.2">
      <c r="A58"/>
      <c r="B58"/>
      <c r="C58"/>
      <c r="D58"/>
      <c r="E58" s="50"/>
      <c r="F58" s="50"/>
      <c r="G58" s="50"/>
      <c r="H58"/>
      <c r="I58" s="2"/>
    </row>
    <row r="59" spans="1:9" s="60" customFormat="1" x14ac:dyDescent="0.2">
      <c r="A59" s="66"/>
      <c r="B59" s="66"/>
      <c r="D59" s="38"/>
      <c r="E59" s="49"/>
      <c r="F59" s="49"/>
      <c r="G59" s="49"/>
      <c r="I59" s="2"/>
    </row>
    <row r="60" spans="1:9" s="60" customFormat="1" x14ac:dyDescent="0.2">
      <c r="A60" s="66"/>
      <c r="B60" s="66"/>
      <c r="D60" s="38"/>
      <c r="E60" s="49"/>
      <c r="F60" s="49"/>
      <c r="G60" s="49"/>
      <c r="I60" s="2"/>
    </row>
    <row r="61" spans="1:9" s="60" customFormat="1" x14ac:dyDescent="0.2">
      <c r="A61" s="66"/>
      <c r="B61" s="66"/>
      <c r="D61" s="38"/>
      <c r="E61" s="49"/>
      <c r="F61" s="49"/>
      <c r="G61" s="49"/>
      <c r="I61" s="2"/>
    </row>
    <row r="62" spans="1:9" s="60" customFormat="1" x14ac:dyDescent="0.2">
      <c r="A62" s="66"/>
      <c r="B62" s="66"/>
      <c r="D62" s="38"/>
      <c r="E62" s="49"/>
      <c r="F62" s="49"/>
      <c r="G62" s="49"/>
      <c r="I62" s="2"/>
    </row>
    <row r="63" spans="1:9" s="60" customFormat="1" x14ac:dyDescent="0.2">
      <c r="A63" s="66"/>
      <c r="B63" s="66"/>
      <c r="D63" s="38"/>
      <c r="E63" s="49"/>
      <c r="F63" s="49"/>
      <c r="G63" s="49"/>
      <c r="I63" s="2"/>
    </row>
    <row r="64" spans="1:9" s="60" customFormat="1" x14ac:dyDescent="0.2">
      <c r="A64" s="66"/>
      <c r="B64" s="66"/>
      <c r="D64" s="38"/>
      <c r="E64" s="49"/>
      <c r="F64" s="49"/>
      <c r="G64" s="49"/>
      <c r="I64" s="2"/>
    </row>
    <row r="65" spans="1:9" s="60" customFormat="1" x14ac:dyDescent="0.2">
      <c r="A65" s="66"/>
      <c r="B65" s="66"/>
      <c r="D65" s="29"/>
      <c r="E65" s="64"/>
      <c r="F65" s="64"/>
      <c r="G65" s="64"/>
      <c r="I65" s="2"/>
    </row>
    <row r="66" spans="1:9" x14ac:dyDescent="0.2">
      <c r="C66" s="25"/>
      <c r="D66" s="61"/>
      <c r="E66" s="53"/>
      <c r="F66" s="53"/>
      <c r="G66" s="53"/>
      <c r="I66" s="2"/>
    </row>
    <row r="67" spans="1:9" x14ac:dyDescent="0.2">
      <c r="C67" s="25"/>
      <c r="D67" s="61"/>
      <c r="E67" s="53"/>
      <c r="F67" s="53"/>
      <c r="G67" s="53"/>
      <c r="I67" s="2"/>
    </row>
    <row r="68" spans="1:9" ht="12" thickBot="1" x14ac:dyDescent="0.25">
      <c r="C68" s="25"/>
      <c r="D68" s="61"/>
      <c r="E68" s="53"/>
      <c r="F68" s="53"/>
      <c r="G68" s="53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69"/>
  <sheetViews>
    <sheetView showGridLines="0" workbookViewId="0">
      <selection activeCell="D31" sqref="D3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32</v>
      </c>
      <c r="K2" s="2"/>
    </row>
    <row r="3" spans="1:12" x14ac:dyDescent="0.2">
      <c r="A3" s="8" t="str">
        <f>'1'!$A$3</f>
        <v>Rate Level Review</v>
      </c>
      <c r="B3" s="12"/>
      <c r="I3" s="50"/>
      <c r="J3" s="131"/>
      <c r="K3" s="2"/>
    </row>
    <row r="4" spans="1:12" x14ac:dyDescent="0.2">
      <c r="A4" t="s">
        <v>328</v>
      </c>
      <c r="B4" s="12"/>
      <c r="I4" s="50"/>
      <c r="K4" s="2"/>
    </row>
    <row r="5" spans="1:12" x14ac:dyDescent="0.2">
      <c r="A5" t="s">
        <v>31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  <c r="L7" t="s">
        <v>217</v>
      </c>
    </row>
    <row r="8" spans="1:12" ht="12" thickTop="1" x14ac:dyDescent="0.2">
      <c r="I8" s="50"/>
      <c r="K8" s="2"/>
      <c r="L8" s="86">
        <f>'2.4a'!L$22</f>
        <v>43738</v>
      </c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</row>
    <row r="11" spans="1:12" x14ac:dyDescent="0.2">
      <c r="A11" s="9" t="str">
        <f>TEXT($L$8,"m/d/xx")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7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2010</v>
      </c>
      <c r="B14" s="25"/>
      <c r="C14" s="33">
        <f>'2.3a'!E14</f>
        <v>1264721</v>
      </c>
      <c r="D14" s="36">
        <f>'4.1'!$E$61</f>
        <v>0.24399999999999999</v>
      </c>
      <c r="E14" s="35">
        <f>'trend 2.5'!$G30</f>
        <v>1.1819999999999999</v>
      </c>
      <c r="F14" s="19">
        <f>ROUND(C14*(1+D14)*E14,0)</f>
        <v>1859656</v>
      </c>
      <c r="G14" s="49">
        <f>'10.1a'!E15</f>
        <v>124702532</v>
      </c>
      <c r="H14" s="20">
        <f>ROUND(F14/G14,3)</f>
        <v>1.4999999999999999E-2</v>
      </c>
      <c r="I14" s="169"/>
      <c r="K14" s="2"/>
    </row>
    <row r="15" spans="1:12" x14ac:dyDescent="0.2">
      <c r="A15" t="str">
        <f t="shared" si="1"/>
        <v>2011</v>
      </c>
      <c r="B15" s="25"/>
      <c r="C15" s="33">
        <f>'2.3a'!E15</f>
        <v>1277401</v>
      </c>
      <c r="D15" s="36">
        <f t="shared" ref="D15:D23" si="2">D$14</f>
        <v>0.24399999999999999</v>
      </c>
      <c r="E15" s="35">
        <f>'trend 2.5'!$G31</f>
        <v>1.1759999999999999</v>
      </c>
      <c r="F15" s="19">
        <f t="shared" ref="F15:F22" si="3">ROUND(C15*(1+D15)*E15,0)</f>
        <v>1868766</v>
      </c>
      <c r="G15" s="49">
        <f>'10.1a'!E16</f>
        <v>126684509</v>
      </c>
      <c r="H15" s="20">
        <f t="shared" ref="H15:H20" si="4">ROUND(F15/G15,3)</f>
        <v>1.4999999999999999E-2</v>
      </c>
      <c r="I15" s="169"/>
      <c r="K15" s="2"/>
    </row>
    <row r="16" spans="1:12" x14ac:dyDescent="0.2">
      <c r="A16" t="str">
        <f t="shared" si="1"/>
        <v>2012</v>
      </c>
      <c r="B16" s="25"/>
      <c r="C16" s="33">
        <f>'2.3a'!E16</f>
        <v>10634874</v>
      </c>
      <c r="D16" s="36">
        <f t="shared" si="2"/>
        <v>0.24399999999999999</v>
      </c>
      <c r="E16" s="35">
        <f>'trend 2.5'!$G32</f>
        <v>1.1439999999999999</v>
      </c>
      <c r="F16" s="19">
        <f t="shared" si="3"/>
        <v>15134872</v>
      </c>
      <c r="G16" s="49">
        <f>'10.1a'!E17</f>
        <v>128914788</v>
      </c>
      <c r="H16" s="20">
        <f t="shared" si="4"/>
        <v>0.11700000000000001</v>
      </c>
      <c r="I16" s="169"/>
      <c r="K16" s="2"/>
    </row>
    <row r="17" spans="1:11" x14ac:dyDescent="0.2">
      <c r="A17" t="str">
        <f t="shared" si="1"/>
        <v>2013</v>
      </c>
      <c r="B17" s="25"/>
      <c r="C17" s="33">
        <f>'2.3a'!E17</f>
        <v>54058418</v>
      </c>
      <c r="D17" s="36">
        <f t="shared" si="2"/>
        <v>0.24399999999999999</v>
      </c>
      <c r="E17" s="35">
        <f>'trend 2.5'!$G33</f>
        <v>1.1359999999999999</v>
      </c>
      <c r="F17" s="19">
        <f t="shared" si="3"/>
        <v>76394491</v>
      </c>
      <c r="G17" s="49">
        <f>'10.1a'!E18</f>
        <v>131926783</v>
      </c>
      <c r="H17" s="20">
        <f t="shared" si="4"/>
        <v>0.57899999999999996</v>
      </c>
      <c r="I17" s="169"/>
      <c r="K17" s="2"/>
    </row>
    <row r="18" spans="1:11" x14ac:dyDescent="0.2">
      <c r="A18" t="str">
        <f t="shared" si="1"/>
        <v>2014</v>
      </c>
      <c r="B18" s="25"/>
      <c r="C18" s="33">
        <f>'2.3a'!E18</f>
        <v>521145</v>
      </c>
      <c r="D18" s="36">
        <f t="shared" si="2"/>
        <v>0.24399999999999999</v>
      </c>
      <c r="E18" s="35">
        <f>'trend 2.5'!$G34</f>
        <v>1.1120000000000001</v>
      </c>
      <c r="F18" s="19">
        <f t="shared" si="3"/>
        <v>720914</v>
      </c>
      <c r="G18" s="49">
        <f>'10.1a'!E19</f>
        <v>134663386</v>
      </c>
      <c r="H18" s="20">
        <f t="shared" si="4"/>
        <v>5.0000000000000001E-3</v>
      </c>
      <c r="I18" s="169"/>
      <c r="K18" s="2"/>
    </row>
    <row r="19" spans="1:11" x14ac:dyDescent="0.2">
      <c r="A19" t="str">
        <f t="shared" si="1"/>
        <v>2015</v>
      </c>
      <c r="B19" s="25"/>
      <c r="C19" s="33">
        <f>'2.3a'!E19</f>
        <v>17519760</v>
      </c>
      <c r="D19" s="36">
        <f t="shared" si="2"/>
        <v>0.24399999999999999</v>
      </c>
      <c r="E19" s="35">
        <f>'trend 2.5'!$G35</f>
        <v>1.099</v>
      </c>
      <c r="F19" s="19">
        <f>ROUND(C19*(1+D19)*E19,0)</f>
        <v>23952245</v>
      </c>
      <c r="G19" s="49">
        <f>'10.1a'!E20</f>
        <v>136975647</v>
      </c>
      <c r="H19" s="20">
        <f t="shared" si="4"/>
        <v>0.17499999999999999</v>
      </c>
      <c r="I19" s="169"/>
      <c r="K19" s="2"/>
    </row>
    <row r="20" spans="1:11" x14ac:dyDescent="0.2">
      <c r="A20" t="str">
        <f t="shared" si="1"/>
        <v>2016</v>
      </c>
      <c r="B20" s="25"/>
      <c r="C20" s="33">
        <f>'2.3a'!E20</f>
        <v>11163138</v>
      </c>
      <c r="D20" s="36">
        <f t="shared" si="2"/>
        <v>0.24399999999999999</v>
      </c>
      <c r="E20" s="35">
        <f>'trend 2.5'!$G36</f>
        <v>1.1040000000000001</v>
      </c>
      <c r="F20" s="19">
        <f t="shared" si="3"/>
        <v>15331186</v>
      </c>
      <c r="G20" s="49">
        <f>'10.1a'!E21</f>
        <v>133431908</v>
      </c>
      <c r="H20" s="20">
        <f t="shared" si="4"/>
        <v>0.115</v>
      </c>
      <c r="I20" s="169"/>
      <c r="K20" s="2"/>
    </row>
    <row r="21" spans="1:11" x14ac:dyDescent="0.2">
      <c r="A21" t="str">
        <f t="shared" si="1"/>
        <v>2017</v>
      </c>
      <c r="B21" s="25"/>
      <c r="C21" s="33">
        <f>'2.3a'!E21</f>
        <v>2766773</v>
      </c>
      <c r="D21" s="36">
        <f t="shared" si="2"/>
        <v>0.24399999999999999</v>
      </c>
      <c r="E21" s="35">
        <f>'trend 2.5'!$G37</f>
        <v>1.0840000000000001</v>
      </c>
      <c r="F21" s="19">
        <f t="shared" si="3"/>
        <v>3730982</v>
      </c>
      <c r="G21" s="49">
        <f>'10.1a'!E22</f>
        <v>126682785</v>
      </c>
      <c r="H21" s="20">
        <f>ROUND(F21/G21,3)</f>
        <v>2.9000000000000001E-2</v>
      </c>
      <c r="I21" s="169"/>
      <c r="K21" s="2"/>
    </row>
    <row r="22" spans="1:11" x14ac:dyDescent="0.2">
      <c r="A22" t="str">
        <f t="shared" si="1"/>
        <v>2018</v>
      </c>
      <c r="B22" s="51"/>
      <c r="C22" s="49">
        <f>'2.3a'!E22</f>
        <v>2487007</v>
      </c>
      <c r="D22" s="76">
        <f t="shared" si="2"/>
        <v>0.24399999999999999</v>
      </c>
      <c r="E22" s="104">
        <f>'trend 2.5'!$G38</f>
        <v>1.054</v>
      </c>
      <c r="F22" s="58">
        <f t="shared" si="3"/>
        <v>3260904</v>
      </c>
      <c r="G22" s="49">
        <f>'10.1a'!E23</f>
        <v>115596430</v>
      </c>
      <c r="H22" s="169">
        <f>ROUND(F22/G22,3)</f>
        <v>2.8000000000000001E-2</v>
      </c>
      <c r="I22" s="169"/>
      <c r="K22" s="2"/>
    </row>
    <row r="23" spans="1:11" x14ac:dyDescent="0.2">
      <c r="A23" t="str">
        <f>TEXT(YEAR($L$8),"#")</f>
        <v>2019</v>
      </c>
      <c r="B23" s="51"/>
      <c r="C23" s="49">
        <f>'2.3a'!E23</f>
        <v>4341537</v>
      </c>
      <c r="D23" s="76">
        <f t="shared" si="2"/>
        <v>0.24399999999999999</v>
      </c>
      <c r="E23" s="104">
        <f>'trend 2.5'!$G39</f>
        <v>1.04</v>
      </c>
      <c r="F23" s="58">
        <f>ROUND(C23*(1+D23)*E23,0)</f>
        <v>5616907</v>
      </c>
      <c r="G23" s="49">
        <f>'10.1a'!E24</f>
        <v>109182096</v>
      </c>
      <c r="H23" s="169">
        <f>ROUND(F23/G23,3)</f>
        <v>5.0999999999999997E-2</v>
      </c>
      <c r="K23" s="2"/>
    </row>
    <row r="24" spans="1:11" x14ac:dyDescent="0.2">
      <c r="A24" s="9"/>
      <c r="B24" s="26"/>
      <c r="C24" s="34"/>
      <c r="D24" s="37"/>
      <c r="E24" s="67"/>
      <c r="F24" s="28"/>
      <c r="G24" s="34"/>
      <c r="H24" s="21"/>
      <c r="I24" s="50"/>
      <c r="K24" s="2"/>
    </row>
    <row r="25" spans="1:11" x14ac:dyDescent="0.2">
      <c r="I25" s="169"/>
      <c r="J25" s="20"/>
      <c r="K25" s="2"/>
    </row>
    <row r="26" spans="1:11" x14ac:dyDescent="0.2">
      <c r="A26" t="s">
        <v>9</v>
      </c>
      <c r="C26" s="19">
        <f>SUM(C14:C24)</f>
        <v>106034774</v>
      </c>
      <c r="F26" s="19">
        <f>SUM(F14:F24)</f>
        <v>147870923</v>
      </c>
      <c r="G26" s="19">
        <f>SUM(G14:G24)</f>
        <v>1268760864</v>
      </c>
      <c r="H26" s="20">
        <f>ROUND(F26/G26,3)</f>
        <v>0.11700000000000001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"&amp;'2.3a'!$J$1&amp;", "&amp;'2.3a'!$J$2</f>
        <v>(2) Exhibit 2, Sheet 3a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"&amp;'10.1a'!$J$1&amp;", "&amp;'10.1a'!$J$2</f>
        <v>(6) Exhibit 10, Sheet 1a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B37" s="25"/>
      <c r="I37" s="50"/>
      <c r="K37" s="2"/>
    </row>
    <row r="38" spans="1:11" x14ac:dyDescent="0.2">
      <c r="A38" s="60"/>
      <c r="B38" s="25"/>
      <c r="I38" s="50"/>
      <c r="K38" s="2"/>
    </row>
    <row r="39" spans="1:11" x14ac:dyDescent="0.2">
      <c r="I39" s="50"/>
      <c r="K39" s="2"/>
    </row>
    <row r="40" spans="1:11" x14ac:dyDescent="0.2">
      <c r="I40" s="50"/>
      <c r="K40" s="2"/>
    </row>
    <row r="41" spans="1:11" x14ac:dyDescent="0.2"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92D050"/>
  </sheetPr>
  <dimension ref="A1:L74"/>
  <sheetViews>
    <sheetView showGridLines="0" workbookViewId="0">
      <selection activeCell="B5" sqref="B5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187</v>
      </c>
      <c r="K1" s="1"/>
    </row>
    <row r="2" spans="1:12" x14ac:dyDescent="0.2">
      <c r="A2" s="8" t="str">
        <f>'1'!$A$2</f>
        <v>Residential Property - Wind &amp; Hail</v>
      </c>
      <c r="B2" s="12"/>
      <c r="J2" s="7"/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207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I7" s="50"/>
      <c r="K7" s="2"/>
    </row>
    <row r="8" spans="1:12" ht="12" thickTop="1" x14ac:dyDescent="0.2">
      <c r="K8" s="2"/>
    </row>
    <row r="9" spans="1:12" x14ac:dyDescent="0.2">
      <c r="C9" s="24" t="s">
        <v>209</v>
      </c>
      <c r="F9" t="s">
        <v>166</v>
      </c>
      <c r="K9" s="2"/>
      <c r="L9" s="27"/>
    </row>
    <row r="10" spans="1:12" x14ac:dyDescent="0.2">
      <c r="A10" t="s">
        <v>208</v>
      </c>
      <c r="F10" t="s">
        <v>213</v>
      </c>
      <c r="K10" s="2"/>
      <c r="L10" s="22"/>
    </row>
    <row r="11" spans="1:12" x14ac:dyDescent="0.2">
      <c r="A11" s="9" t="s">
        <v>54</v>
      </c>
      <c r="B11" s="9"/>
      <c r="C11" s="9" t="s">
        <v>210</v>
      </c>
      <c r="D11" s="9" t="s">
        <v>211</v>
      </c>
      <c r="E11" s="9" t="s">
        <v>9</v>
      </c>
      <c r="F11" s="9" t="s">
        <v>212</v>
      </c>
      <c r="G11" s="9" t="s">
        <v>214</v>
      </c>
      <c r="I11" s="50"/>
      <c r="K11" s="2"/>
      <c r="L11" s="5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I12" s="11"/>
      <c r="K12" s="2"/>
    </row>
    <row r="13" spans="1:12" x14ac:dyDescent="0.2">
      <c r="K13" s="2"/>
    </row>
    <row r="14" spans="1:12" x14ac:dyDescent="0.2">
      <c r="A14" s="191">
        <v>1994</v>
      </c>
      <c r="B14" s="22"/>
      <c r="C14" s="82">
        <f>'[5]12.2'!C14</f>
        <v>10672677</v>
      </c>
      <c r="D14" s="82">
        <f>'[5]12.2'!D14</f>
        <v>15758330</v>
      </c>
      <c r="E14" s="31">
        <f>SUM(C14:D14)</f>
        <v>26431007</v>
      </c>
      <c r="F14" s="82">
        <f>'[5]12.2'!F14</f>
        <v>26510501</v>
      </c>
      <c r="G14" s="78">
        <f t="shared" ref="G14:G30" si="0">E14-F14</f>
        <v>-79494</v>
      </c>
      <c r="I14" s="78"/>
      <c r="K14" s="2"/>
      <c r="L14" s="20"/>
    </row>
    <row r="15" spans="1:12" x14ac:dyDescent="0.2">
      <c r="A15" t="str">
        <f>TEXT(A14+1,"#")</f>
        <v>1995</v>
      </c>
      <c r="B15" s="22"/>
      <c r="C15" s="82">
        <f>'[5]12.2'!C15</f>
        <v>12865905</v>
      </c>
      <c r="D15" s="82">
        <f>'[5]12.2'!D15</f>
        <v>19259265</v>
      </c>
      <c r="E15" s="31">
        <f t="shared" ref="E15:E30" si="1">SUM(C15:D15)</f>
        <v>32125170</v>
      </c>
      <c r="F15" s="82">
        <f>'[5]12.2'!F15</f>
        <v>32419287</v>
      </c>
      <c r="G15" s="78">
        <f t="shared" si="0"/>
        <v>-294117</v>
      </c>
      <c r="I15" s="78"/>
      <c r="K15" s="2"/>
      <c r="L15" s="20"/>
    </row>
    <row r="16" spans="1:12" x14ac:dyDescent="0.2">
      <c r="A16" t="str">
        <f t="shared" ref="A16:A30" si="2">TEXT(A15+1,"#")</f>
        <v>1996</v>
      </c>
      <c r="C16" s="82">
        <f>'[5]12.2'!C16</f>
        <v>15640660</v>
      </c>
      <c r="D16" s="82">
        <f>'[5]12.2'!D16</f>
        <v>24504127</v>
      </c>
      <c r="E16" s="31">
        <f t="shared" si="1"/>
        <v>40144787</v>
      </c>
      <c r="F16" s="82">
        <f>'[5]12.2'!F16</f>
        <v>40358575</v>
      </c>
      <c r="G16" s="78">
        <f t="shared" si="0"/>
        <v>-213788</v>
      </c>
      <c r="I16" s="78"/>
      <c r="K16" s="2"/>
      <c r="L16" s="20"/>
    </row>
    <row r="17" spans="1:12" x14ac:dyDescent="0.2">
      <c r="A17" t="str">
        <f t="shared" si="2"/>
        <v>1997</v>
      </c>
      <c r="C17" s="82">
        <f>'[5]12.2'!C17</f>
        <v>16536186</v>
      </c>
      <c r="D17" s="82">
        <f>'[5]12.2'!D17</f>
        <v>25783455</v>
      </c>
      <c r="E17" s="31">
        <f t="shared" si="1"/>
        <v>42319641</v>
      </c>
      <c r="F17" s="82">
        <f>'[5]12.2'!F17</f>
        <v>42462844</v>
      </c>
      <c r="G17" s="78">
        <f t="shared" si="0"/>
        <v>-143203</v>
      </c>
      <c r="I17" s="78"/>
      <c r="K17" s="2"/>
      <c r="L17" s="20"/>
    </row>
    <row r="18" spans="1:12" x14ac:dyDescent="0.2">
      <c r="A18" t="str">
        <f t="shared" si="2"/>
        <v>1998</v>
      </c>
      <c r="C18" s="82">
        <f>'[5]12.2'!C18</f>
        <v>16558977</v>
      </c>
      <c r="D18" s="82">
        <f>'[5]12.2'!D18</f>
        <v>27833800</v>
      </c>
      <c r="E18" s="31">
        <f t="shared" si="1"/>
        <v>44392777</v>
      </c>
      <c r="F18" s="82">
        <f>'[5]12.2'!F18</f>
        <v>44410914</v>
      </c>
      <c r="G18" s="78">
        <f t="shared" si="0"/>
        <v>-18137</v>
      </c>
      <c r="I18" s="78"/>
      <c r="K18" s="2"/>
      <c r="L18" s="20"/>
    </row>
    <row r="19" spans="1:12" x14ac:dyDescent="0.2">
      <c r="A19" t="str">
        <f t="shared" si="2"/>
        <v>1999</v>
      </c>
      <c r="C19" s="82">
        <f>'[5]12.2'!C19</f>
        <v>17394142.049999997</v>
      </c>
      <c r="D19" s="82">
        <f>'[5]12.2'!D19</f>
        <v>27168992</v>
      </c>
      <c r="E19" s="31">
        <f t="shared" si="1"/>
        <v>44563134.049999997</v>
      </c>
      <c r="F19" s="82">
        <f>'[5]12.2'!F19</f>
        <v>44581218</v>
      </c>
      <c r="G19" s="78">
        <f t="shared" si="0"/>
        <v>-18083.95000000298</v>
      </c>
      <c r="I19" s="78"/>
      <c r="K19" s="2"/>
      <c r="L19" s="20"/>
    </row>
    <row r="20" spans="1:12" x14ac:dyDescent="0.2">
      <c r="A20" t="str">
        <f t="shared" si="2"/>
        <v>2000</v>
      </c>
      <c r="C20" s="82">
        <f>'[5]12.2'!C20</f>
        <v>17332561</v>
      </c>
      <c r="D20" s="82">
        <f>'[5]12.2'!D20</f>
        <v>29762296</v>
      </c>
      <c r="E20" s="31">
        <f t="shared" si="1"/>
        <v>47094857</v>
      </c>
      <c r="F20" s="82">
        <f>'[5]12.2'!F20</f>
        <v>48012426</v>
      </c>
      <c r="G20" s="78">
        <f t="shared" si="0"/>
        <v>-917569</v>
      </c>
      <c r="I20" s="78"/>
      <c r="K20" s="2"/>
      <c r="L20" s="20"/>
    </row>
    <row r="21" spans="1:12" x14ac:dyDescent="0.2">
      <c r="A21" t="str">
        <f t="shared" si="2"/>
        <v>2001</v>
      </c>
      <c r="C21" s="82">
        <f>'[5]12.2'!C21</f>
        <v>17544251</v>
      </c>
      <c r="D21" s="82">
        <f>'[5]12.2'!D21</f>
        <v>36220622.519999996</v>
      </c>
      <c r="E21" s="31">
        <f t="shared" si="1"/>
        <v>53764873.519999996</v>
      </c>
      <c r="F21" s="82">
        <f>'[5]12.2'!F21</f>
        <v>54630727</v>
      </c>
      <c r="G21" s="78">
        <f t="shared" si="0"/>
        <v>-865853.48000000417</v>
      </c>
      <c r="I21" s="78"/>
      <c r="K21" s="2"/>
      <c r="L21" s="20"/>
    </row>
    <row r="22" spans="1:12" x14ac:dyDescent="0.2">
      <c r="A22" t="str">
        <f t="shared" si="2"/>
        <v>2002</v>
      </c>
      <c r="C22" s="82">
        <f>'[5]12.2'!C22</f>
        <v>24013525</v>
      </c>
      <c r="D22" s="82">
        <f>'[5]12.2'!D22</f>
        <v>48856422.25</v>
      </c>
      <c r="E22" s="31">
        <f t="shared" si="1"/>
        <v>72869947.25</v>
      </c>
      <c r="F22" s="82">
        <f>'[5]12.2'!F22</f>
        <v>72967831</v>
      </c>
      <c r="G22" s="78">
        <f t="shared" si="0"/>
        <v>-97883.75</v>
      </c>
      <c r="I22" s="78"/>
      <c r="K22" s="2"/>
      <c r="L22" s="20"/>
    </row>
    <row r="23" spans="1:12" x14ac:dyDescent="0.2">
      <c r="A23" t="str">
        <f t="shared" si="2"/>
        <v>2003</v>
      </c>
      <c r="C23" s="82">
        <f>'[5]12.2'!C23</f>
        <v>29220514</v>
      </c>
      <c r="D23" s="82">
        <f>'[5]12.2'!D23</f>
        <v>58573191</v>
      </c>
      <c r="E23" s="31">
        <f t="shared" si="1"/>
        <v>87793705</v>
      </c>
      <c r="F23" s="82">
        <f>'[5]12.2'!F23</f>
        <v>87987279</v>
      </c>
      <c r="G23" s="78">
        <f t="shared" si="0"/>
        <v>-193574</v>
      </c>
      <c r="I23" s="78"/>
      <c r="K23" s="2"/>
      <c r="L23" s="20"/>
    </row>
    <row r="24" spans="1:12" x14ac:dyDescent="0.2">
      <c r="A24" t="str">
        <f t="shared" si="2"/>
        <v>2004</v>
      </c>
      <c r="C24" s="82">
        <f>'[5]12.2'!C24</f>
        <v>31009323</v>
      </c>
      <c r="D24" s="82">
        <f>'[5]12.2'!D24</f>
        <v>71292702</v>
      </c>
      <c r="E24" s="31">
        <f t="shared" si="1"/>
        <v>102302025</v>
      </c>
      <c r="F24" s="82">
        <f>'[5]12.2'!F24</f>
        <v>102384351</v>
      </c>
      <c r="G24" s="78">
        <f t="shared" si="0"/>
        <v>-82326</v>
      </c>
      <c r="I24" s="78"/>
      <c r="K24" s="2"/>
      <c r="L24" s="20"/>
    </row>
    <row r="25" spans="1:12" x14ac:dyDescent="0.2">
      <c r="A25" t="str">
        <f t="shared" si="2"/>
        <v>2005</v>
      </c>
      <c r="B25" s="25"/>
      <c r="C25" s="82">
        <f>'[5]12.2'!C25</f>
        <v>35740174</v>
      </c>
      <c r="D25" s="82">
        <f>'[5]12.2'!D25</f>
        <v>78094458</v>
      </c>
      <c r="E25" s="31">
        <f t="shared" si="1"/>
        <v>113834632</v>
      </c>
      <c r="F25" s="82">
        <f>'[5]12.2'!F25</f>
        <v>113927701</v>
      </c>
      <c r="G25" s="78">
        <f t="shared" si="0"/>
        <v>-93069</v>
      </c>
      <c r="I25" s="78"/>
      <c r="K25" s="2"/>
      <c r="L25" s="20"/>
    </row>
    <row r="26" spans="1:12" x14ac:dyDescent="0.2">
      <c r="A26" t="str">
        <f t="shared" si="2"/>
        <v>2006</v>
      </c>
      <c r="C26" s="82">
        <f>'[5]12.2'!C26</f>
        <v>76847840</v>
      </c>
      <c r="D26" s="82">
        <f>'[5]12.2'!D26</f>
        <v>119658576</v>
      </c>
      <c r="E26" s="31">
        <f t="shared" si="1"/>
        <v>196506416</v>
      </c>
      <c r="F26" s="82">
        <f>'[5]12.2'!F26</f>
        <v>196833235</v>
      </c>
      <c r="G26" s="78">
        <f t="shared" si="0"/>
        <v>-326819</v>
      </c>
      <c r="I26" s="78"/>
      <c r="K26" s="2"/>
      <c r="L26" s="20"/>
    </row>
    <row r="27" spans="1:12" s="60" customFormat="1" x14ac:dyDescent="0.2">
      <c r="A27" t="str">
        <f t="shared" si="2"/>
        <v>2007</v>
      </c>
      <c r="B27"/>
      <c r="C27" s="82">
        <f>'[5]12.2'!C27</f>
        <v>110951718</v>
      </c>
      <c r="D27" s="82">
        <f>'[5]12.2'!D27</f>
        <v>203561196</v>
      </c>
      <c r="E27" s="31">
        <f t="shared" si="1"/>
        <v>314512914</v>
      </c>
      <c r="F27" s="82">
        <f>'[5]12.2'!F27</f>
        <v>315139307</v>
      </c>
      <c r="G27" s="78">
        <f t="shared" si="0"/>
        <v>-626393</v>
      </c>
      <c r="H27"/>
      <c r="I27" s="78"/>
      <c r="K27" s="2"/>
      <c r="L27" s="20"/>
    </row>
    <row r="28" spans="1:12" x14ac:dyDescent="0.2">
      <c r="A28" s="50" t="str">
        <f t="shared" si="2"/>
        <v>2008</v>
      </c>
      <c r="B28" s="51"/>
      <c r="C28" s="82">
        <f>'[5]12.2'!C28</f>
        <v>98036118.420000017</v>
      </c>
      <c r="D28" s="82">
        <f>'[5]12.2'!D28</f>
        <v>232925989.76999998</v>
      </c>
      <c r="E28" s="31">
        <f t="shared" si="1"/>
        <v>330962108.19</v>
      </c>
      <c r="F28" s="82">
        <f>'[5]12.2'!F28</f>
        <v>331057645</v>
      </c>
      <c r="G28" s="78">
        <f t="shared" si="0"/>
        <v>-95536.810000002384</v>
      </c>
      <c r="I28" s="162"/>
      <c r="K28" s="2"/>
      <c r="L28" s="20"/>
    </row>
    <row r="29" spans="1:12" x14ac:dyDescent="0.2">
      <c r="A29" s="50" t="str">
        <f t="shared" si="2"/>
        <v>2009</v>
      </c>
      <c r="C29" s="82">
        <f>'[5]12.2'!C29</f>
        <v>111269572.63</v>
      </c>
      <c r="D29" s="82">
        <f>'[5]12.2'!D29</f>
        <v>269535059.02999997</v>
      </c>
      <c r="E29" s="31">
        <f t="shared" si="1"/>
        <v>380804631.65999997</v>
      </c>
      <c r="F29" s="82">
        <f>'[5]12.2'!F29</f>
        <v>382342402</v>
      </c>
      <c r="G29" s="78">
        <f t="shared" si="0"/>
        <v>-1537770.3400000334</v>
      </c>
      <c r="K29" s="2"/>
      <c r="L29" s="20"/>
    </row>
    <row r="30" spans="1:12" x14ac:dyDescent="0.2">
      <c r="A30" s="50" t="str">
        <f t="shared" si="2"/>
        <v>2010</v>
      </c>
      <c r="B30" s="25"/>
      <c r="C30" s="82">
        <f>'[5]12.2'!C30</f>
        <v>102174679.52999991</v>
      </c>
      <c r="D30" s="82">
        <f>'[5]12.2'!D30</f>
        <v>278116922.00999999</v>
      </c>
      <c r="E30" s="31">
        <f t="shared" si="1"/>
        <v>380291601.5399999</v>
      </c>
      <c r="F30" s="82">
        <f>'[5]12.2'!F30</f>
        <v>385549582</v>
      </c>
      <c r="G30" s="78">
        <f t="shared" si="0"/>
        <v>-5257980.4600000978</v>
      </c>
      <c r="K30" s="2"/>
      <c r="L30" s="20"/>
    </row>
    <row r="31" spans="1:12" x14ac:dyDescent="0.2">
      <c r="A31" s="50" t="str">
        <f t="shared" ref="A31:A37" si="3">TEXT(A30+1,"#")</f>
        <v>2011</v>
      </c>
      <c r="B31" s="25"/>
      <c r="C31" s="82">
        <f>'[5]12.2'!C31</f>
        <v>100017021</v>
      </c>
      <c r="D31" s="82">
        <f>'[5]12.2'!D31</f>
        <v>307494236.20000005</v>
      </c>
      <c r="E31" s="31">
        <f t="shared" ref="E31:E37" si="4">SUM(C31:D31)</f>
        <v>407511257.20000005</v>
      </c>
      <c r="F31" s="82">
        <f>'[5]12.2'!F31</f>
        <v>403748164</v>
      </c>
      <c r="G31" s="78">
        <f t="shared" ref="G31:G37" si="5">E31-F31</f>
        <v>3763093.2000000477</v>
      </c>
      <c r="I31" s="162"/>
      <c r="K31" s="2"/>
      <c r="L31" s="20"/>
    </row>
    <row r="32" spans="1:12" x14ac:dyDescent="0.2">
      <c r="A32" s="50" t="str">
        <f t="shared" si="3"/>
        <v>2012</v>
      </c>
      <c r="B32" s="25"/>
      <c r="C32" s="82">
        <f>'[5]12.2'!C32</f>
        <v>110524396.51999998</v>
      </c>
      <c r="D32" s="82">
        <f>'[5]12.2'!D32</f>
        <v>335795725.19999981</v>
      </c>
      <c r="E32" s="31">
        <f>SUM(C32:D32)</f>
        <v>446320121.71999979</v>
      </c>
      <c r="F32" s="82">
        <f>'[5]12.2'!F32</f>
        <v>443479701</v>
      </c>
      <c r="G32" s="78">
        <f t="shared" si="5"/>
        <v>2840420.7199997902</v>
      </c>
      <c r="I32" s="79"/>
      <c r="K32" s="2"/>
      <c r="L32" s="20"/>
    </row>
    <row r="33" spans="1:12" x14ac:dyDescent="0.2">
      <c r="A33" s="173" t="str">
        <f t="shared" si="3"/>
        <v>2013</v>
      </c>
      <c r="B33" s="203"/>
      <c r="C33" s="82">
        <f>'[5]12.2'!C33</f>
        <v>112904624</v>
      </c>
      <c r="D33" s="82">
        <f>'[5]12.2'!D33</f>
        <v>360838080.7099998</v>
      </c>
      <c r="E33" s="204">
        <f t="shared" si="4"/>
        <v>473742704.7099998</v>
      </c>
      <c r="F33" s="82">
        <f>'[5]12.2'!F33</f>
        <v>472739474</v>
      </c>
      <c r="G33" s="205">
        <f>E33-F33</f>
        <v>1003230.7099997997</v>
      </c>
      <c r="K33" s="2"/>
      <c r="L33" s="20"/>
    </row>
    <row r="34" spans="1:12" x14ac:dyDescent="0.2">
      <c r="A34" s="50" t="str">
        <f t="shared" si="3"/>
        <v>2014</v>
      </c>
      <c r="B34" s="51"/>
      <c r="C34" s="82">
        <f>'[5]12.2'!C34</f>
        <v>104642688</v>
      </c>
      <c r="D34" s="82">
        <f>'[5]12.2'!D34</f>
        <v>389333918.13999987</v>
      </c>
      <c r="E34" s="125">
        <f t="shared" si="4"/>
        <v>493976606.13999987</v>
      </c>
      <c r="F34" s="82">
        <f>'[5]12.2'!F34</f>
        <v>494036010</v>
      </c>
      <c r="G34" s="162">
        <f t="shared" si="5"/>
        <v>-59403.860000133514</v>
      </c>
      <c r="K34" s="2"/>
      <c r="L34" s="20"/>
    </row>
    <row r="35" spans="1:12" x14ac:dyDescent="0.2">
      <c r="A35" s="50" t="str">
        <f t="shared" si="3"/>
        <v>2015</v>
      </c>
      <c r="B35" s="51"/>
      <c r="C35" s="82">
        <f>'[5]12.2'!C35</f>
        <v>98715934</v>
      </c>
      <c r="D35" s="82">
        <f>'[5]12.2'!D35</f>
        <v>407969846.0800004</v>
      </c>
      <c r="E35" s="125">
        <f t="shared" si="4"/>
        <v>506685780.0800004</v>
      </c>
      <c r="F35" s="82">
        <f>'[5]12.2'!F35</f>
        <v>503824316</v>
      </c>
      <c r="G35" s="162">
        <f t="shared" si="5"/>
        <v>2861464.0800004005</v>
      </c>
      <c r="I35" s="78"/>
      <c r="K35" s="2"/>
      <c r="L35" s="20"/>
    </row>
    <row r="36" spans="1:12" x14ac:dyDescent="0.2">
      <c r="A36" s="50" t="str">
        <f t="shared" si="3"/>
        <v>2016</v>
      </c>
      <c r="B36" s="51"/>
      <c r="C36" s="82">
        <f>'[5]12.2'!C36</f>
        <v>88278690</v>
      </c>
      <c r="D36" s="82">
        <f>'[5]12.2'!D36</f>
        <v>399074847</v>
      </c>
      <c r="E36" s="125">
        <f t="shared" si="4"/>
        <v>487353537</v>
      </c>
      <c r="F36" s="82">
        <f>'[5]12.2'!F36</f>
        <v>487353537</v>
      </c>
      <c r="G36" s="162">
        <f t="shared" si="5"/>
        <v>0</v>
      </c>
      <c r="H36" s="50"/>
      <c r="I36" s="78"/>
      <c r="K36" s="2"/>
      <c r="L36" s="20"/>
    </row>
    <row r="37" spans="1:12" x14ac:dyDescent="0.2">
      <c r="A37" s="50" t="str">
        <f t="shared" si="3"/>
        <v>2017</v>
      </c>
      <c r="B37" s="51"/>
      <c r="C37" s="82">
        <f>'[5]12.2'!C37</f>
        <v>70749081</v>
      </c>
      <c r="D37" s="82">
        <f>'[5]12.2'!D37</f>
        <v>352368052</v>
      </c>
      <c r="E37" s="125">
        <f t="shared" si="4"/>
        <v>423117133</v>
      </c>
      <c r="F37" s="82">
        <f>'[5]12.2'!F37</f>
        <v>423074138</v>
      </c>
      <c r="G37" s="162">
        <f t="shared" si="5"/>
        <v>42995</v>
      </c>
      <c r="H37" s="50"/>
      <c r="K37" s="2"/>
      <c r="L37" s="20"/>
    </row>
    <row r="38" spans="1:12" x14ac:dyDescent="0.2">
      <c r="A38" s="50">
        <v>2018</v>
      </c>
      <c r="B38" s="51"/>
      <c r="C38" s="82">
        <f>'[5]12.2'!C38</f>
        <v>65696833</v>
      </c>
      <c r="D38" s="82">
        <f>'[5]12.2'!D38</f>
        <v>331676957</v>
      </c>
      <c r="E38" s="125">
        <f>SUM(C38:D38)</f>
        <v>397373790</v>
      </c>
      <c r="F38" s="82">
        <f>'[5]12.2'!F38</f>
        <v>395551679</v>
      </c>
      <c r="G38" s="162">
        <f>E38-F38</f>
        <v>1822111</v>
      </c>
      <c r="K38" s="2"/>
    </row>
    <row r="39" spans="1:12" x14ac:dyDescent="0.2">
      <c r="A39" s="9">
        <v>2019</v>
      </c>
      <c r="B39" s="26"/>
      <c r="C39" s="83">
        <f>'[5]12.2'!C39</f>
        <v>59123729</v>
      </c>
      <c r="D39" s="83">
        <f>'[5]12.2'!D39</f>
        <v>314907158.99999952</v>
      </c>
      <c r="E39" s="32">
        <f>SUM(C39:D39)</f>
        <v>374030887.99999952</v>
      </c>
      <c r="F39" s="83">
        <f>'[5]12.2'!F39</f>
        <v>372016601</v>
      </c>
      <c r="G39" s="184">
        <f>E39-F39</f>
        <v>2014286.9999995232</v>
      </c>
      <c r="K39" s="2"/>
    </row>
    <row r="40" spans="1:12" x14ac:dyDescent="0.2">
      <c r="K40" s="2"/>
    </row>
    <row r="41" spans="1:12" x14ac:dyDescent="0.2">
      <c r="C41" s="19"/>
      <c r="D41" s="82"/>
      <c r="E41" s="12"/>
      <c r="F41" s="19"/>
      <c r="G41" s="19"/>
      <c r="I41" s="50"/>
      <c r="K41" s="2"/>
    </row>
    <row r="42" spans="1:12" x14ac:dyDescent="0.2">
      <c r="A42" t="s">
        <v>9</v>
      </c>
      <c r="C42" s="78">
        <f>SUM(C14:C39)</f>
        <v>1554461820.1499999</v>
      </c>
      <c r="D42" s="78">
        <f t="shared" ref="D42:G42" si="6">SUM(D14:D39)</f>
        <v>4766364224.9099998</v>
      </c>
      <c r="E42" s="78">
        <f t="shared" si="6"/>
        <v>6320826045.0599995</v>
      </c>
      <c r="F42" s="78">
        <f t="shared" si="6"/>
        <v>6317399445</v>
      </c>
      <c r="G42" s="78">
        <f t="shared" si="6"/>
        <v>3426600.0599992871</v>
      </c>
      <c r="K42" s="2"/>
    </row>
    <row r="43" spans="1:12" ht="12" thickBot="1" x14ac:dyDescent="0.25">
      <c r="A43" s="6"/>
      <c r="B43" s="6"/>
      <c r="C43" s="6"/>
      <c r="D43" s="6"/>
      <c r="E43" s="6"/>
      <c r="F43" s="6"/>
      <c r="G43" s="6"/>
      <c r="K43" s="2"/>
    </row>
    <row r="44" spans="1:12" ht="12" thickTop="1" x14ac:dyDescent="0.2">
      <c r="K44" s="2"/>
      <c r="L44" s="96"/>
    </row>
    <row r="45" spans="1:12" x14ac:dyDescent="0.2">
      <c r="A45" t="s">
        <v>17</v>
      </c>
      <c r="F45" s="45"/>
      <c r="K45" s="2"/>
    </row>
    <row r="46" spans="1:12" x14ac:dyDescent="0.2">
      <c r="B46" s="22" t="str">
        <f>'[5]12.2'!$B$45</f>
        <v>(2), (3) Provided by TWIA, as of 12/31/2019</v>
      </c>
      <c r="K46" s="2"/>
    </row>
    <row r="47" spans="1:12" x14ac:dyDescent="0.2">
      <c r="B47" s="22" t="str">
        <f>E12&amp;" = "&amp;C12&amp;" + "&amp;D12</f>
        <v>(4) = (2) + (3)</v>
      </c>
      <c r="K47" s="2"/>
    </row>
    <row r="48" spans="1:12" x14ac:dyDescent="0.2">
      <c r="B48" s="22" t="str">
        <f>F12&amp;" Based on TWIA Annual Statements"</f>
        <v>(5) Based on TWIA Annual Statements</v>
      </c>
      <c r="C48" s="60"/>
      <c r="D48" s="60"/>
      <c r="E48" s="60"/>
      <c r="F48" s="60"/>
      <c r="G48" s="60"/>
      <c r="K48" s="2"/>
    </row>
    <row r="49" spans="1:11" x14ac:dyDescent="0.2">
      <c r="B49" s="22" t="str">
        <f>G12&amp;" = "&amp;E12&amp;" - "&amp;F12</f>
        <v>(6) = (4) - (5)</v>
      </c>
      <c r="H49" s="45"/>
      <c r="I49" s="45"/>
      <c r="K49" s="2"/>
    </row>
    <row r="50" spans="1:11" x14ac:dyDescent="0.2">
      <c r="B50" s="22"/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s="60" customFormat="1" x14ac:dyDescent="0.2">
      <c r="A55"/>
      <c r="B55"/>
      <c r="C55"/>
      <c r="D55"/>
      <c r="E55"/>
      <c r="F55"/>
      <c r="G55"/>
      <c r="H55"/>
      <c r="I55"/>
      <c r="K55" s="2"/>
    </row>
    <row r="56" spans="1:11" s="60" customFormat="1" x14ac:dyDescent="0.2">
      <c r="A56"/>
      <c r="B56"/>
      <c r="C56"/>
      <c r="D56"/>
      <c r="E56"/>
      <c r="F56"/>
      <c r="G56"/>
      <c r="K56" s="2"/>
    </row>
    <row r="57" spans="1:11" s="60" customFormat="1" x14ac:dyDescent="0.2">
      <c r="K57" s="2"/>
    </row>
    <row r="58" spans="1:11" s="60" customFormat="1" x14ac:dyDescent="0.2">
      <c r="C58" s="22"/>
      <c r="K58" s="2"/>
    </row>
    <row r="59" spans="1:11" s="60" customFormat="1" x14ac:dyDescent="0.2">
      <c r="H59" s="45"/>
      <c r="I59" s="45"/>
      <c r="K59" s="2"/>
    </row>
    <row r="60" spans="1:11" s="60" customFormat="1" x14ac:dyDescent="0.2">
      <c r="A60" s="45"/>
      <c r="B60" s="45"/>
      <c r="C60" s="45"/>
      <c r="D60" s="45"/>
      <c r="E60" s="45"/>
      <c r="F60" s="45"/>
      <c r="G60" s="45"/>
      <c r="K60" s="2"/>
    </row>
    <row r="61" spans="1:11" s="60" customFormat="1" x14ac:dyDescent="0.2">
      <c r="H61" s="33"/>
      <c r="I61" s="33"/>
      <c r="K61" s="2"/>
    </row>
    <row r="62" spans="1:11" s="60" customFormat="1" x14ac:dyDescent="0.2">
      <c r="A62" s="66"/>
      <c r="C62" s="38"/>
      <c r="D62" s="38"/>
      <c r="E62" s="38"/>
      <c r="F62" s="38"/>
      <c r="G62" s="33"/>
      <c r="H62" s="33"/>
      <c r="I62" s="33"/>
      <c r="K62" s="2"/>
    </row>
    <row r="63" spans="1:11" s="60" customFormat="1" x14ac:dyDescent="0.2">
      <c r="A63" s="66"/>
      <c r="C63" s="38"/>
      <c r="D63" s="38"/>
      <c r="E63" s="38"/>
      <c r="F63" s="38"/>
      <c r="G63" s="33"/>
      <c r="H63" s="33"/>
      <c r="I63" s="33"/>
      <c r="K63" s="2"/>
    </row>
    <row r="64" spans="1:11" s="60" customFormat="1" x14ac:dyDescent="0.2">
      <c r="A64" s="66"/>
      <c r="C64" s="38"/>
      <c r="D64" s="38"/>
      <c r="E64" s="38"/>
      <c r="F64" s="38"/>
      <c r="G64" s="33"/>
      <c r="H64" s="33"/>
      <c r="I64" s="33"/>
      <c r="K64" s="2"/>
    </row>
    <row r="65" spans="1:11" s="60" customFormat="1" x14ac:dyDescent="0.2">
      <c r="A65" s="66"/>
      <c r="C65" s="38"/>
      <c r="D65" s="38"/>
      <c r="E65" s="38"/>
      <c r="F65" s="38"/>
      <c r="G65" s="33"/>
      <c r="H65" s="33"/>
      <c r="I65" s="33"/>
      <c r="K65" s="2"/>
    </row>
    <row r="66" spans="1:11" s="60" customFormat="1" x14ac:dyDescent="0.2">
      <c r="A66" s="66"/>
      <c r="C66" s="38"/>
      <c r="D66" s="38"/>
      <c r="E66" s="38"/>
      <c r="F66" s="38"/>
      <c r="G66" s="33"/>
      <c r="H66" s="33"/>
      <c r="I66" s="33"/>
      <c r="K66" s="2"/>
    </row>
    <row r="67" spans="1:11" s="60" customFormat="1" x14ac:dyDescent="0.2">
      <c r="A67" s="66"/>
      <c r="C67" s="38"/>
      <c r="D67" s="38"/>
      <c r="E67" s="38"/>
      <c r="F67" s="38"/>
      <c r="G67" s="33"/>
      <c r="H67" s="33"/>
      <c r="I67" s="33"/>
      <c r="K67" s="2"/>
    </row>
    <row r="68" spans="1:11" x14ac:dyDescent="0.2">
      <c r="A68" s="66"/>
      <c r="B68" s="60"/>
      <c r="C68" s="38"/>
      <c r="D68" s="38"/>
      <c r="E68" s="38"/>
      <c r="F68" s="38"/>
      <c r="G68" s="33"/>
      <c r="H68" s="29"/>
      <c r="I68" s="29"/>
      <c r="K68" s="2"/>
    </row>
    <row r="69" spans="1:11" x14ac:dyDescent="0.2">
      <c r="A69" s="66"/>
      <c r="B69" s="60"/>
      <c r="C69" s="29"/>
      <c r="D69" s="29"/>
      <c r="E69" s="29"/>
      <c r="F69" s="29"/>
      <c r="G69" s="29"/>
      <c r="K69" s="2"/>
    </row>
    <row r="70" spans="1:11" ht="12" thickBot="1" x14ac:dyDescent="0.25">
      <c r="B70" s="25"/>
      <c r="C70" s="61"/>
      <c r="D70" s="61"/>
      <c r="E70" s="61"/>
      <c r="F70" s="61"/>
      <c r="G70" s="23"/>
      <c r="K70" s="2"/>
    </row>
    <row r="71" spans="1:11" ht="12" hidden="1" thickBot="1" x14ac:dyDescent="0.25">
      <c r="B71" s="25"/>
      <c r="C71" s="61"/>
      <c r="D71" s="61"/>
      <c r="E71" s="61"/>
      <c r="F71" s="61"/>
      <c r="G71" s="23"/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  <row r="74" spans="1:11" x14ac:dyDescent="0.2">
      <c r="B74" s="25"/>
      <c r="C74" s="61"/>
      <c r="D74" s="61"/>
      <c r="E74" s="61"/>
      <c r="F74" s="61"/>
      <c r="G74" s="2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M69"/>
  <sheetViews>
    <sheetView showGridLines="0" workbookViewId="0">
      <selection activeCell="C26" sqref="C26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3" x14ac:dyDescent="0.2">
      <c r="A1" s="8" t="str">
        <f>'1'!$A$1</f>
        <v>Texas Windstorm Insurance Association</v>
      </c>
      <c r="B1" s="12"/>
      <c r="I1" s="50"/>
      <c r="J1" s="7" t="s">
        <v>20</v>
      </c>
      <c r="K1" s="1"/>
      <c r="M1" t="s">
        <v>360</v>
      </c>
    </row>
    <row r="2" spans="1:13" x14ac:dyDescent="0.2">
      <c r="A2" s="8" t="str">
        <f>'1'!$A$2</f>
        <v>Residential Property - Wind &amp; Hail</v>
      </c>
      <c r="B2" s="12"/>
      <c r="I2" s="50"/>
      <c r="J2" s="7" t="s">
        <v>46</v>
      </c>
      <c r="K2" s="2"/>
    </row>
    <row r="3" spans="1:13" x14ac:dyDescent="0.2">
      <c r="A3" s="8" t="str">
        <f>'1'!$A$3</f>
        <v>Rate Level Review</v>
      </c>
      <c r="B3" s="12"/>
      <c r="I3" s="50"/>
      <c r="J3" s="131"/>
      <c r="K3" s="2"/>
    </row>
    <row r="4" spans="1:13" x14ac:dyDescent="0.2">
      <c r="A4" t="s">
        <v>328</v>
      </c>
      <c r="B4" s="12"/>
      <c r="I4" s="50"/>
      <c r="K4" s="2"/>
    </row>
    <row r="5" spans="1:13" x14ac:dyDescent="0.2">
      <c r="A5" t="s">
        <v>45</v>
      </c>
      <c r="B5" s="12"/>
      <c r="I5" s="50"/>
      <c r="K5" s="2"/>
    </row>
    <row r="6" spans="1:13" x14ac:dyDescent="0.2">
      <c r="I6" s="50"/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3" ht="12" thickTop="1" x14ac:dyDescent="0.2">
      <c r="I8" s="50"/>
      <c r="K8" s="2"/>
    </row>
    <row r="9" spans="1:13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3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3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86">
        <f>'2.4a'!L$22</f>
        <v>43738</v>
      </c>
    </row>
    <row r="12" spans="1:13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7"/>
      <c r="K12" s="2"/>
    </row>
    <row r="13" spans="1:13" x14ac:dyDescent="0.2">
      <c r="I13" s="50"/>
      <c r="K13" s="2"/>
    </row>
    <row r="14" spans="1:13" x14ac:dyDescent="0.2">
      <c r="A14" t="str">
        <f t="shared" ref="A14:A22" si="1">TEXT(A15-1,"#")</f>
        <v>2010</v>
      </c>
      <c r="B14" s="25"/>
      <c r="C14" s="33">
        <f>'2.3b'!E14</f>
        <v>3445556</v>
      </c>
      <c r="D14" s="36">
        <f>'4.1'!$E$61</f>
        <v>0.24399999999999999</v>
      </c>
      <c r="E14" s="35">
        <f>'2.2a'!E14</f>
        <v>1.1819999999999999</v>
      </c>
      <c r="F14" s="19">
        <f t="shared" ref="F14:F23" si="2">ROUND(C14*(1+D14)*E14,0)</f>
        <v>5066373</v>
      </c>
      <c r="G14" s="49">
        <f>'10.1b'!E15</f>
        <v>69035414</v>
      </c>
      <c r="H14" s="20">
        <f t="shared" ref="H14:H23" si="3">ROUND(F14/G14,3)</f>
        <v>7.2999999999999995E-2</v>
      </c>
      <c r="I14" s="169"/>
      <c r="K14" s="2"/>
    </row>
    <row r="15" spans="1:13" x14ac:dyDescent="0.2">
      <c r="A15" t="str">
        <f t="shared" si="1"/>
        <v>2011</v>
      </c>
      <c r="B15" s="25"/>
      <c r="C15" s="33">
        <f>'2.3b'!E15</f>
        <v>19199535</v>
      </c>
      <c r="D15" s="36">
        <f t="shared" ref="D15:D23" si="4">D$14</f>
        <v>0.24399999999999999</v>
      </c>
      <c r="E15" s="35">
        <f>'2.2a'!E15</f>
        <v>1.1759999999999999</v>
      </c>
      <c r="F15" s="19">
        <f t="shared" si="2"/>
        <v>28087845</v>
      </c>
      <c r="G15" s="49">
        <f>'10.1b'!E16</f>
        <v>69387124</v>
      </c>
      <c r="H15" s="20">
        <f t="shared" si="3"/>
        <v>0.40500000000000003</v>
      </c>
      <c r="I15" s="169"/>
      <c r="K15" s="2"/>
    </row>
    <row r="16" spans="1:13" x14ac:dyDescent="0.2">
      <c r="A16" t="str">
        <f t="shared" si="1"/>
        <v>2012</v>
      </c>
      <c r="B16" s="25"/>
      <c r="C16" s="33">
        <f>'2.3b'!E16</f>
        <v>20626638</v>
      </c>
      <c r="D16" s="36">
        <f t="shared" si="4"/>
        <v>0.24399999999999999</v>
      </c>
      <c r="E16" s="35">
        <f>'2.2a'!E16</f>
        <v>1.1439999999999999</v>
      </c>
      <c r="F16" s="19">
        <f t="shared" si="2"/>
        <v>29354511</v>
      </c>
      <c r="G16" s="49">
        <f>'10.1b'!E17</f>
        <v>70391274</v>
      </c>
      <c r="H16" s="20">
        <f t="shared" si="3"/>
        <v>0.41699999999999998</v>
      </c>
      <c r="I16" s="169"/>
      <c r="K16" s="2"/>
    </row>
    <row r="17" spans="1:11" x14ac:dyDescent="0.2">
      <c r="A17" t="str">
        <f t="shared" si="1"/>
        <v>2013</v>
      </c>
      <c r="B17" s="25"/>
      <c r="C17" s="33">
        <f>'2.3b'!E17</f>
        <v>6175709</v>
      </c>
      <c r="D17" s="36">
        <f t="shared" si="4"/>
        <v>0.24399999999999999</v>
      </c>
      <c r="E17" s="35">
        <f>'2.2a'!E17</f>
        <v>1.1359999999999999</v>
      </c>
      <c r="F17" s="19">
        <f t="shared" si="2"/>
        <v>8727413</v>
      </c>
      <c r="G17" s="49">
        <f>'10.1b'!E18</f>
        <v>71513690</v>
      </c>
      <c r="H17" s="20">
        <f t="shared" si="3"/>
        <v>0.122</v>
      </c>
      <c r="I17" s="169"/>
      <c r="K17" s="2"/>
    </row>
    <row r="18" spans="1:11" x14ac:dyDescent="0.2">
      <c r="A18" t="str">
        <f t="shared" si="1"/>
        <v>2014</v>
      </c>
      <c r="B18" s="25"/>
      <c r="C18" s="33">
        <f>'2.3b'!E18</f>
        <v>1619343</v>
      </c>
      <c r="D18" s="36">
        <f t="shared" si="4"/>
        <v>0.24399999999999999</v>
      </c>
      <c r="E18" s="35">
        <f>'2.2a'!E18</f>
        <v>1.1120000000000001</v>
      </c>
      <c r="F18" s="19">
        <f t="shared" si="2"/>
        <v>2240083</v>
      </c>
      <c r="G18" s="49">
        <f>'10.1b'!E19</f>
        <v>74528934</v>
      </c>
      <c r="H18" s="20">
        <f t="shared" si="3"/>
        <v>0.03</v>
      </c>
      <c r="I18" s="169"/>
      <c r="K18" s="2"/>
    </row>
    <row r="19" spans="1:11" x14ac:dyDescent="0.2">
      <c r="A19" t="str">
        <f t="shared" si="1"/>
        <v>2015</v>
      </c>
      <c r="B19" s="25"/>
      <c r="C19" s="33">
        <f>'2.3b'!E19</f>
        <v>9460973</v>
      </c>
      <c r="D19" s="36">
        <f t="shared" si="4"/>
        <v>0.24399999999999999</v>
      </c>
      <c r="E19" s="35">
        <f>'2.2a'!E19</f>
        <v>1.099</v>
      </c>
      <c r="F19" s="19">
        <f t="shared" si="2"/>
        <v>12934626</v>
      </c>
      <c r="G19" s="49">
        <f>'10.1b'!E20</f>
        <v>77646885</v>
      </c>
      <c r="H19" s="20">
        <f t="shared" si="3"/>
        <v>0.16700000000000001</v>
      </c>
      <c r="I19" s="169"/>
      <c r="K19" s="2"/>
    </row>
    <row r="20" spans="1:11" x14ac:dyDescent="0.2">
      <c r="A20" t="str">
        <f t="shared" si="1"/>
        <v>2016</v>
      </c>
      <c r="B20" s="25"/>
      <c r="C20" s="33">
        <f>'2.3b'!E20</f>
        <v>9692684</v>
      </c>
      <c r="D20" s="36">
        <f t="shared" si="4"/>
        <v>0.24399999999999999</v>
      </c>
      <c r="E20" s="35">
        <f>'2.2a'!E20</f>
        <v>1.1040000000000001</v>
      </c>
      <c r="F20" s="19">
        <f t="shared" si="2"/>
        <v>13311700</v>
      </c>
      <c r="G20" s="49">
        <f>'10.1b'!E21</f>
        <v>76688491</v>
      </c>
      <c r="H20" s="20">
        <f t="shared" si="3"/>
        <v>0.17399999999999999</v>
      </c>
      <c r="I20" s="169"/>
      <c r="K20" s="2"/>
    </row>
    <row r="21" spans="1:11" x14ac:dyDescent="0.2">
      <c r="A21" t="str">
        <f t="shared" si="1"/>
        <v>2017</v>
      </c>
      <c r="B21" s="25"/>
      <c r="C21" s="33">
        <f>'2.3b'!E21</f>
        <v>7927026</v>
      </c>
      <c r="D21" s="36">
        <f t="shared" si="4"/>
        <v>0.24399999999999999</v>
      </c>
      <c r="E21" s="35">
        <f>'2.2a'!E21</f>
        <v>1.0840000000000001</v>
      </c>
      <c r="F21" s="19">
        <f>ROUND(C21*(1+D21)*E21,0)</f>
        <v>10689563</v>
      </c>
      <c r="G21" s="49">
        <f>'10.1b'!E22</f>
        <v>72582595</v>
      </c>
      <c r="H21" s="20">
        <f t="shared" si="3"/>
        <v>0.14699999999999999</v>
      </c>
      <c r="I21" s="169"/>
      <c r="K21" s="2"/>
    </row>
    <row r="22" spans="1:11" x14ac:dyDescent="0.2">
      <c r="A22" t="str">
        <f t="shared" si="1"/>
        <v>2018</v>
      </c>
      <c r="B22" s="51"/>
      <c r="C22" s="49">
        <f>'2.3b'!E22</f>
        <v>1208339</v>
      </c>
      <c r="D22" s="76">
        <f t="shared" si="4"/>
        <v>0.24399999999999999</v>
      </c>
      <c r="E22" s="104">
        <f>'2.2a'!E22</f>
        <v>1.054</v>
      </c>
      <c r="F22" s="58">
        <f t="shared" si="2"/>
        <v>1584345</v>
      </c>
      <c r="G22" s="49">
        <f>'10.1b'!E23</f>
        <v>65531943</v>
      </c>
      <c r="H22" s="169">
        <f t="shared" si="3"/>
        <v>2.4E-2</v>
      </c>
      <c r="I22" s="169"/>
      <c r="K22" s="2"/>
    </row>
    <row r="23" spans="1:11" x14ac:dyDescent="0.2">
      <c r="A23" t="str">
        <f>TEXT(YEAR($L$11),"#")</f>
        <v>2019</v>
      </c>
      <c r="B23" s="51"/>
      <c r="C23" s="49">
        <f>'2.3b'!E23</f>
        <v>835159</v>
      </c>
      <c r="D23" s="76">
        <f t="shared" si="4"/>
        <v>0.24399999999999999</v>
      </c>
      <c r="E23" s="104">
        <f>'2.2a'!E23</f>
        <v>1.04</v>
      </c>
      <c r="F23" s="58">
        <f t="shared" si="2"/>
        <v>1080495</v>
      </c>
      <c r="G23" s="49">
        <f>'10.1b'!E24</f>
        <v>59870593</v>
      </c>
      <c r="H23" s="169">
        <f t="shared" si="3"/>
        <v>1.7999999999999999E-2</v>
      </c>
      <c r="I23" s="169"/>
      <c r="K23" s="2"/>
    </row>
    <row r="24" spans="1:11" x14ac:dyDescent="0.2">
      <c r="A24" s="9"/>
      <c r="B24" s="26"/>
      <c r="C24" s="34"/>
      <c r="D24" s="37"/>
      <c r="E24" s="67"/>
      <c r="F24" s="28"/>
      <c r="G24" s="34"/>
      <c r="H24" s="21"/>
      <c r="I24" s="50"/>
      <c r="K24" s="2"/>
    </row>
    <row r="25" spans="1:11" x14ac:dyDescent="0.2">
      <c r="I25" s="169"/>
      <c r="J25" s="20"/>
      <c r="K25" s="2"/>
    </row>
    <row r="26" spans="1:11" x14ac:dyDescent="0.2">
      <c r="A26" t="s">
        <v>9</v>
      </c>
      <c r="C26" s="19">
        <f>SUM(C14:C24)</f>
        <v>80190962</v>
      </c>
      <c r="F26" s="19">
        <f>SUM(F14:F24)</f>
        <v>113076954</v>
      </c>
      <c r="G26" s="19">
        <f>SUM(G14:G24)</f>
        <v>707176943</v>
      </c>
      <c r="H26" s="20">
        <f>ROUND(F26/G26,3)</f>
        <v>0.16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"&amp;'2.3b'!$J$1&amp;", "&amp;'2.3b'!$J$2</f>
        <v>(2) Exhibit 2, Sheet 3b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"&amp;'10.1b'!$J$1&amp;", "&amp;'10.1b'!$J$2</f>
        <v>(6) Exhibit 10, Sheet 1b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60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L69"/>
  <sheetViews>
    <sheetView showGridLines="0" workbookViewId="0">
      <selection activeCell="H27" sqref="H27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48</v>
      </c>
      <c r="K2" s="2"/>
    </row>
    <row r="3" spans="1:12" x14ac:dyDescent="0.2">
      <c r="A3" s="8" t="str">
        <f>'1'!$A$3</f>
        <v>Rate Level Review</v>
      </c>
      <c r="B3" s="12"/>
      <c r="I3" s="50"/>
      <c r="J3" s="131"/>
      <c r="K3" s="2"/>
    </row>
    <row r="4" spans="1:12" x14ac:dyDescent="0.2">
      <c r="A4" t="s">
        <v>328</v>
      </c>
      <c r="B4" s="12"/>
      <c r="I4" s="50"/>
      <c r="K4" s="2"/>
    </row>
    <row r="5" spans="1:12" x14ac:dyDescent="0.2">
      <c r="A5" t="s">
        <v>47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2" thickTop="1" x14ac:dyDescent="0.2">
      <c r="I8" s="50"/>
      <c r="K8" s="2"/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86">
        <f>'2.4a'!L$22</f>
        <v>43738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7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2010</v>
      </c>
      <c r="B14" s="25"/>
      <c r="C14" s="33">
        <f>'2.3c'!E14</f>
        <v>6663982</v>
      </c>
      <c r="D14" s="36">
        <f>'4.1'!$E$61</f>
        <v>0.24399999999999999</v>
      </c>
      <c r="E14" s="35">
        <f>'2.2a'!E14</f>
        <v>1.1819999999999999</v>
      </c>
      <c r="F14" s="19">
        <f t="shared" ref="F14:F22" si="2">ROUND(C14*(1+D14)*E14,0)</f>
        <v>9798772</v>
      </c>
      <c r="G14" s="49">
        <f>'10.1c'!E15</f>
        <v>185336084</v>
      </c>
      <c r="H14" s="20">
        <f>ROUND(F14/G14,3)</f>
        <v>5.2999999999999999E-2</v>
      </c>
      <c r="I14" s="169"/>
      <c r="K14" s="2"/>
    </row>
    <row r="15" spans="1:12" x14ac:dyDescent="0.2">
      <c r="A15" t="str">
        <f t="shared" si="1"/>
        <v>2011</v>
      </c>
      <c r="B15" s="25"/>
      <c r="C15" s="33">
        <f>'2.3c'!E15</f>
        <v>56124736</v>
      </c>
      <c r="D15" s="36">
        <f t="shared" ref="D15:D23" si="3">D$14</f>
        <v>0.24399999999999999</v>
      </c>
      <c r="E15" s="35">
        <f>'2.2a'!E15</f>
        <v>1.1759999999999999</v>
      </c>
      <c r="F15" s="19">
        <f t="shared" si="2"/>
        <v>82107346</v>
      </c>
      <c r="G15" s="49">
        <f>'10.1c'!E16</f>
        <v>193033699</v>
      </c>
      <c r="H15" s="20">
        <f t="shared" ref="H15:H23" si="4">ROUND(F15/G15,3)</f>
        <v>0.42499999999999999</v>
      </c>
      <c r="I15" s="169"/>
      <c r="K15" s="2"/>
    </row>
    <row r="16" spans="1:12" x14ac:dyDescent="0.2">
      <c r="A16" t="str">
        <f t="shared" si="1"/>
        <v>2012</v>
      </c>
      <c r="B16" s="25"/>
      <c r="C16" s="33">
        <f>'2.3c'!E16</f>
        <v>18946421</v>
      </c>
      <c r="D16" s="36">
        <f t="shared" si="3"/>
        <v>0.24399999999999999</v>
      </c>
      <c r="E16" s="35">
        <f>'2.2a'!E16</f>
        <v>1.1439999999999999</v>
      </c>
      <c r="F16" s="19">
        <f t="shared" si="2"/>
        <v>26963334</v>
      </c>
      <c r="G16" s="49">
        <f>'10.1c'!E17</f>
        <v>209220809</v>
      </c>
      <c r="H16" s="20">
        <f t="shared" si="4"/>
        <v>0.129</v>
      </c>
      <c r="I16" s="169"/>
      <c r="K16" s="2"/>
    </row>
    <row r="17" spans="1:11" x14ac:dyDescent="0.2">
      <c r="A17" t="str">
        <f t="shared" si="1"/>
        <v>2013</v>
      </c>
      <c r="B17" s="25"/>
      <c r="C17" s="33">
        <f>'2.3c'!E17</f>
        <v>4828213</v>
      </c>
      <c r="D17" s="36">
        <f t="shared" si="3"/>
        <v>0.24399999999999999</v>
      </c>
      <c r="E17" s="35">
        <f>'2.2a'!E17</f>
        <v>1.1359999999999999</v>
      </c>
      <c r="F17" s="19">
        <f t="shared" si="2"/>
        <v>6823153</v>
      </c>
      <c r="G17" s="49">
        <f>'10.1c'!E18</f>
        <v>215695773</v>
      </c>
      <c r="H17" s="20">
        <f t="shared" si="4"/>
        <v>3.2000000000000001E-2</v>
      </c>
      <c r="I17" s="169"/>
      <c r="K17" s="2"/>
    </row>
    <row r="18" spans="1:11" x14ac:dyDescent="0.2">
      <c r="A18" t="str">
        <f t="shared" si="1"/>
        <v>2014</v>
      </c>
      <c r="B18" s="25"/>
      <c r="C18" s="33">
        <f>'2.3c'!E18</f>
        <v>2847431</v>
      </c>
      <c r="D18" s="36">
        <f t="shared" si="3"/>
        <v>0.24399999999999999</v>
      </c>
      <c r="E18" s="35">
        <f>'2.2a'!E18</f>
        <v>1.1120000000000001</v>
      </c>
      <c r="F18" s="19">
        <f t="shared" si="2"/>
        <v>3938931</v>
      </c>
      <c r="G18" s="49">
        <f>'10.1c'!E19</f>
        <v>222006785</v>
      </c>
      <c r="H18" s="20">
        <f t="shared" si="4"/>
        <v>1.7999999999999999E-2</v>
      </c>
      <c r="I18" s="169"/>
      <c r="K18" s="2"/>
    </row>
    <row r="19" spans="1:11" x14ac:dyDescent="0.2">
      <c r="A19" t="str">
        <f t="shared" si="1"/>
        <v>2015</v>
      </c>
      <c r="B19" s="25"/>
      <c r="C19" s="33">
        <f>'2.3c'!E19</f>
        <v>86781698</v>
      </c>
      <c r="D19" s="36">
        <f t="shared" si="3"/>
        <v>0.24399999999999999</v>
      </c>
      <c r="E19" s="35">
        <f>'2.2a'!E19</f>
        <v>1.099</v>
      </c>
      <c r="F19" s="19">
        <f t="shared" si="2"/>
        <v>118644119</v>
      </c>
      <c r="G19" s="49">
        <f>'10.1c'!E20</f>
        <v>226666349</v>
      </c>
      <c r="H19" s="20">
        <f t="shared" si="4"/>
        <v>0.52300000000000002</v>
      </c>
      <c r="I19" s="169"/>
      <c r="K19" s="2"/>
    </row>
    <row r="20" spans="1:11" x14ac:dyDescent="0.2">
      <c r="A20" t="str">
        <f t="shared" si="1"/>
        <v>2016</v>
      </c>
      <c r="B20" s="25"/>
      <c r="C20" s="33">
        <f>'2.3c'!E20</f>
        <v>12381551</v>
      </c>
      <c r="D20" s="36">
        <f t="shared" si="3"/>
        <v>0.24399999999999999</v>
      </c>
      <c r="E20" s="35">
        <f>'2.2a'!E20</f>
        <v>1.1040000000000001</v>
      </c>
      <c r="F20" s="19">
        <f t="shared" si="2"/>
        <v>17004525</v>
      </c>
      <c r="G20" s="49">
        <f>'10.1c'!E21</f>
        <v>216365340</v>
      </c>
      <c r="H20" s="20">
        <f t="shared" si="4"/>
        <v>7.9000000000000001E-2</v>
      </c>
      <c r="I20" s="169"/>
      <c r="K20" s="2"/>
    </row>
    <row r="21" spans="1:11" x14ac:dyDescent="0.2">
      <c r="A21" t="str">
        <f t="shared" si="1"/>
        <v>2017</v>
      </c>
      <c r="B21" s="25"/>
      <c r="C21" s="33">
        <f>'2.3c'!E21</f>
        <v>22613538</v>
      </c>
      <c r="D21" s="36">
        <f t="shared" si="3"/>
        <v>0.24399999999999999</v>
      </c>
      <c r="E21" s="35">
        <f>'2.2a'!E21</f>
        <v>1.0840000000000001</v>
      </c>
      <c r="F21" s="19">
        <f t="shared" si="2"/>
        <v>30494266</v>
      </c>
      <c r="G21" s="49">
        <f>'10.1c'!E22</f>
        <v>197982407</v>
      </c>
      <c r="H21" s="20">
        <f t="shared" si="4"/>
        <v>0.154</v>
      </c>
      <c r="I21" s="169"/>
      <c r="K21" s="2"/>
    </row>
    <row r="22" spans="1:11" x14ac:dyDescent="0.2">
      <c r="A22" t="str">
        <f t="shared" si="1"/>
        <v>2018</v>
      </c>
      <c r="B22" s="51"/>
      <c r="C22" s="49">
        <f>'2.3c'!E22</f>
        <v>7281085</v>
      </c>
      <c r="D22" s="76">
        <f t="shared" si="3"/>
        <v>0.24399999999999999</v>
      </c>
      <c r="E22" s="104">
        <f>'2.2a'!E22</f>
        <v>1.054</v>
      </c>
      <c r="F22" s="58">
        <f t="shared" si="2"/>
        <v>9546784</v>
      </c>
      <c r="G22" s="49">
        <f>'10.1c'!E23</f>
        <v>171091403</v>
      </c>
      <c r="H22" s="169">
        <f t="shared" si="4"/>
        <v>5.6000000000000001E-2</v>
      </c>
      <c r="I22" s="169"/>
      <c r="K22" s="2"/>
    </row>
    <row r="23" spans="1:11" x14ac:dyDescent="0.2">
      <c r="A23" t="str">
        <f>TEXT(YEAR($L$11),"#")</f>
        <v>2019</v>
      </c>
      <c r="B23" s="51"/>
      <c r="C23" s="49">
        <f>'2.3c'!E23</f>
        <v>11065237</v>
      </c>
      <c r="D23" s="76">
        <f t="shared" si="3"/>
        <v>0.24399999999999999</v>
      </c>
      <c r="E23" s="104">
        <f>'2.2a'!E23</f>
        <v>1.04</v>
      </c>
      <c r="F23" s="58">
        <f>ROUND(C23*(1+D23)*E23,0)</f>
        <v>14315761</v>
      </c>
      <c r="G23" s="49">
        <f>'10.1c'!E24</f>
        <v>151980115</v>
      </c>
      <c r="H23" s="169">
        <f t="shared" si="4"/>
        <v>9.4E-2</v>
      </c>
      <c r="I23" s="169"/>
      <c r="K23" s="2"/>
    </row>
    <row r="24" spans="1:11" x14ac:dyDescent="0.2">
      <c r="A24" s="9"/>
      <c r="B24" s="26"/>
      <c r="C24" s="34"/>
      <c r="D24" s="37"/>
      <c r="E24" s="67"/>
      <c r="F24" s="28"/>
      <c r="G24" s="34"/>
      <c r="H24" s="21"/>
      <c r="I24" s="50"/>
      <c r="K24" s="2"/>
    </row>
    <row r="25" spans="1:11" x14ac:dyDescent="0.2">
      <c r="I25" s="169"/>
      <c r="J25" s="20"/>
      <c r="K25" s="2"/>
    </row>
    <row r="26" spans="1:11" x14ac:dyDescent="0.2">
      <c r="A26" t="s">
        <v>9</v>
      </c>
      <c r="C26" s="19">
        <f>SUM(C14:C24)</f>
        <v>229533892</v>
      </c>
      <c r="F26" s="19">
        <f>SUM(F14:F24)</f>
        <v>319636991</v>
      </c>
      <c r="G26" s="19">
        <f>SUM(G14:G24)</f>
        <v>1989378764</v>
      </c>
      <c r="H26" s="20">
        <f>ROUND(F26/G26,3)</f>
        <v>0.161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"&amp;'2.3c'!$J$1&amp;", "&amp;'2.3c'!$J$2</f>
        <v>(2) Exhibit 2, Sheet 3c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"&amp;'10.1c'!$J$1&amp;", "&amp;'10.1c'!$J$2</f>
        <v>(6) Exhibit 10, Sheet 1c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60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I57" s="50"/>
      <c r="K57" s="2"/>
    </row>
    <row r="58" spans="9:11" x14ac:dyDescent="0.2">
      <c r="I58" s="50"/>
      <c r="K58" s="2"/>
    </row>
    <row r="59" spans="9:11" x14ac:dyDescent="0.2">
      <c r="I59" s="50"/>
      <c r="K59" s="2"/>
    </row>
    <row r="60" spans="9:11" x14ac:dyDescent="0.2">
      <c r="I60" s="50"/>
      <c r="K60" s="2"/>
    </row>
    <row r="61" spans="9:11" x14ac:dyDescent="0.2">
      <c r="I61" s="50"/>
      <c r="K61" s="2"/>
    </row>
    <row r="62" spans="9:11" x14ac:dyDescent="0.2">
      <c r="I62" s="50"/>
      <c r="K62" s="2"/>
    </row>
    <row r="63" spans="9:11" x14ac:dyDescent="0.2">
      <c r="I63" s="50"/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L69"/>
  <sheetViews>
    <sheetView showGridLines="0" topLeftCell="A10" workbookViewId="0">
      <selection activeCell="C23" sqref="C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49</v>
      </c>
      <c r="K2" s="2"/>
    </row>
    <row r="3" spans="1:12" x14ac:dyDescent="0.2">
      <c r="A3" s="8" t="str">
        <f>'1'!$A$3</f>
        <v>Rate Level Review</v>
      </c>
      <c r="B3" s="12"/>
      <c r="I3" s="50"/>
      <c r="J3" s="131"/>
      <c r="K3" s="2"/>
    </row>
    <row r="4" spans="1:12" x14ac:dyDescent="0.2">
      <c r="A4" t="s">
        <v>328</v>
      </c>
      <c r="B4" s="12"/>
      <c r="I4" s="50"/>
      <c r="K4" s="2"/>
    </row>
    <row r="5" spans="1:12" x14ac:dyDescent="0.2">
      <c r="A5" t="s">
        <v>339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2" thickTop="1" x14ac:dyDescent="0.2">
      <c r="I8" s="50"/>
      <c r="K8" s="2"/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238">
        <f>'2.4a'!L$22</f>
        <v>43738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7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2010</v>
      </c>
      <c r="B14" s="25"/>
      <c r="C14" s="33">
        <f>'2.3d'!E14</f>
        <v>182872</v>
      </c>
      <c r="D14" s="36">
        <f>'4.1'!$E$61</f>
        <v>0.24399999999999999</v>
      </c>
      <c r="E14" s="35">
        <f>'2.2a'!E14</f>
        <v>1.1819999999999999</v>
      </c>
      <c r="F14" s="19">
        <f>ROUND(C14*(1+D14)*E14,0)</f>
        <v>268896</v>
      </c>
      <c r="G14" s="49">
        <f>'10.1d'!E15</f>
        <v>3606426</v>
      </c>
      <c r="H14" s="20">
        <f>ROUND(F14/G14,3)</f>
        <v>7.4999999999999997E-2</v>
      </c>
      <c r="I14" s="169"/>
      <c r="K14" s="2"/>
    </row>
    <row r="15" spans="1:12" x14ac:dyDescent="0.2">
      <c r="A15" t="str">
        <f t="shared" si="1"/>
        <v>2011</v>
      </c>
      <c r="B15" s="25"/>
      <c r="C15" s="33">
        <f>'2.3d'!E15</f>
        <v>54382</v>
      </c>
      <c r="D15" s="36">
        <f t="shared" ref="D15:D23" si="2">D$14</f>
        <v>0.24399999999999999</v>
      </c>
      <c r="E15" s="35">
        <f>'2.2a'!E15</f>
        <v>1.1759999999999999</v>
      </c>
      <c r="F15" s="19">
        <f t="shared" ref="F15:F22" si="3">ROUND(C15*(1+D15)*E15,0)</f>
        <v>79558</v>
      </c>
      <c r="G15" s="49">
        <f>'10.1d'!E16</f>
        <v>3878435</v>
      </c>
      <c r="H15" s="20">
        <f t="shared" ref="H15:H22" si="4">ROUND(F15/G15,3)</f>
        <v>2.1000000000000001E-2</v>
      </c>
      <c r="I15" s="169"/>
      <c r="K15" s="2"/>
    </row>
    <row r="16" spans="1:12" x14ac:dyDescent="0.2">
      <c r="A16" t="str">
        <f t="shared" si="1"/>
        <v>2012</v>
      </c>
      <c r="B16" s="25"/>
      <c r="C16" s="33">
        <f>'2.3d'!E16</f>
        <v>259290</v>
      </c>
      <c r="D16" s="36">
        <f t="shared" si="2"/>
        <v>0.24399999999999999</v>
      </c>
      <c r="E16" s="35">
        <f>'2.2a'!E16</f>
        <v>1.1439999999999999</v>
      </c>
      <c r="F16" s="19">
        <f t="shared" si="3"/>
        <v>369005</v>
      </c>
      <c r="G16" s="49">
        <f>'10.1d'!E17</f>
        <v>4306581</v>
      </c>
      <c r="H16" s="20">
        <f t="shared" si="4"/>
        <v>8.5999999999999993E-2</v>
      </c>
      <c r="I16" s="169"/>
      <c r="K16" s="2"/>
    </row>
    <row r="17" spans="1:11" x14ac:dyDescent="0.2">
      <c r="A17" t="str">
        <f t="shared" si="1"/>
        <v>2013</v>
      </c>
      <c r="B17" s="25"/>
      <c r="C17" s="33">
        <f>'2.3d'!E17</f>
        <v>502759</v>
      </c>
      <c r="D17" s="36">
        <f t="shared" si="2"/>
        <v>0.24399999999999999</v>
      </c>
      <c r="E17" s="35">
        <f>'2.2a'!E17</f>
        <v>1.1359999999999999</v>
      </c>
      <c r="F17" s="19">
        <f t="shared" si="3"/>
        <v>710491</v>
      </c>
      <c r="G17" s="49">
        <f>'10.1d'!E18</f>
        <v>4573701</v>
      </c>
      <c r="H17" s="20">
        <f t="shared" si="4"/>
        <v>0.155</v>
      </c>
      <c r="I17" s="169"/>
      <c r="K17" s="2"/>
    </row>
    <row r="18" spans="1:11" x14ac:dyDescent="0.2">
      <c r="A18" t="str">
        <f t="shared" si="1"/>
        <v>2014</v>
      </c>
      <c r="B18" s="25"/>
      <c r="C18" s="33">
        <f>'2.3d'!E18</f>
        <v>30779</v>
      </c>
      <c r="D18" s="36">
        <f t="shared" si="2"/>
        <v>0.24399999999999999</v>
      </c>
      <c r="E18" s="35">
        <f>'2.2a'!E18</f>
        <v>1.1120000000000001</v>
      </c>
      <c r="F18" s="19">
        <f t="shared" si="3"/>
        <v>42577</v>
      </c>
      <c r="G18" s="49">
        <f>'10.1d'!E19</f>
        <v>4650368</v>
      </c>
      <c r="H18" s="20">
        <f t="shared" si="4"/>
        <v>8.9999999999999993E-3</v>
      </c>
      <c r="I18" s="169"/>
      <c r="K18" s="2"/>
    </row>
    <row r="19" spans="1:11" x14ac:dyDescent="0.2">
      <c r="A19" t="str">
        <f t="shared" si="1"/>
        <v>2015</v>
      </c>
      <c r="B19" s="25"/>
      <c r="C19" s="33">
        <f>'2.3d'!E19</f>
        <v>324452</v>
      </c>
      <c r="D19" s="36">
        <f t="shared" si="2"/>
        <v>0.24399999999999999</v>
      </c>
      <c r="E19" s="35">
        <f>'2.2a'!E19</f>
        <v>1.099</v>
      </c>
      <c r="F19" s="19">
        <f t="shared" si="3"/>
        <v>443576</v>
      </c>
      <c r="G19" s="49">
        <f>'10.1d'!E20</f>
        <v>4748938</v>
      </c>
      <c r="H19" s="20">
        <f t="shared" si="4"/>
        <v>9.2999999999999999E-2</v>
      </c>
      <c r="I19" s="169"/>
      <c r="K19" s="2"/>
    </row>
    <row r="20" spans="1:11" x14ac:dyDescent="0.2">
      <c r="A20" t="str">
        <f t="shared" si="1"/>
        <v>2016</v>
      </c>
      <c r="B20" s="25"/>
      <c r="C20" s="33">
        <f>'2.3d'!E20</f>
        <v>454485</v>
      </c>
      <c r="D20" s="36">
        <f t="shared" si="2"/>
        <v>0.24399999999999999</v>
      </c>
      <c r="E20" s="35">
        <f>'2.2a'!E20</f>
        <v>1.1040000000000001</v>
      </c>
      <c r="F20" s="19">
        <f t="shared" si="3"/>
        <v>624179</v>
      </c>
      <c r="G20" s="49">
        <f>'10.1d'!E21</f>
        <v>4776381</v>
      </c>
      <c r="H20" s="20">
        <f t="shared" si="4"/>
        <v>0.13100000000000001</v>
      </c>
      <c r="I20" s="169"/>
      <c r="K20" s="2"/>
    </row>
    <row r="21" spans="1:11" x14ac:dyDescent="0.2">
      <c r="A21" t="str">
        <f t="shared" si="1"/>
        <v>2017</v>
      </c>
      <c r="B21" s="25"/>
      <c r="C21" s="33">
        <f>'2.3d'!E21</f>
        <v>499885</v>
      </c>
      <c r="D21" s="36">
        <f t="shared" si="2"/>
        <v>0.24399999999999999</v>
      </c>
      <c r="E21" s="35">
        <f>'2.2a'!E21</f>
        <v>1.0840000000000001</v>
      </c>
      <c r="F21" s="19">
        <f t="shared" si="3"/>
        <v>674093</v>
      </c>
      <c r="G21" s="49">
        <f>'10.1d'!E22</f>
        <v>4657598</v>
      </c>
      <c r="H21" s="20">
        <f t="shared" si="4"/>
        <v>0.14499999999999999</v>
      </c>
      <c r="I21" s="169"/>
      <c r="K21" s="2"/>
    </row>
    <row r="22" spans="1:11" x14ac:dyDescent="0.2">
      <c r="A22" t="str">
        <f t="shared" si="1"/>
        <v>2018</v>
      </c>
      <c r="B22" s="51"/>
      <c r="C22" s="49">
        <f>'2.3d'!E22</f>
        <v>309004</v>
      </c>
      <c r="D22" s="76">
        <f t="shared" si="2"/>
        <v>0.24399999999999999</v>
      </c>
      <c r="E22" s="104">
        <f>'2.2a'!E22</f>
        <v>1.054</v>
      </c>
      <c r="F22" s="58">
        <f t="shared" si="3"/>
        <v>405159</v>
      </c>
      <c r="G22" s="49">
        <f>'10.1d'!E23</f>
        <v>4410916</v>
      </c>
      <c r="H22" s="169">
        <f t="shared" si="4"/>
        <v>9.1999999999999998E-2</v>
      </c>
      <c r="I22" s="169"/>
      <c r="K22" s="2"/>
    </row>
    <row r="23" spans="1:11" x14ac:dyDescent="0.2">
      <c r="A23" t="str">
        <f>TEXT(YEAR($L$11),"#")</f>
        <v>2019</v>
      </c>
      <c r="B23" s="51"/>
      <c r="C23" s="49">
        <f>'2.3d'!E23</f>
        <v>2293712</v>
      </c>
      <c r="D23" s="76">
        <f t="shared" si="2"/>
        <v>0.24399999999999999</v>
      </c>
      <c r="E23" s="104">
        <f>'2.2a'!E23</f>
        <v>1.04</v>
      </c>
      <c r="F23" s="58">
        <f>ROUND(C23*(1+D23)*E23,0)</f>
        <v>2967513</v>
      </c>
      <c r="G23" s="49">
        <f>'10.1d'!E24</f>
        <v>4296061</v>
      </c>
      <c r="H23" s="169">
        <f>ROUND(F23/G23,3)</f>
        <v>0.69099999999999995</v>
      </c>
      <c r="I23" s="169"/>
      <c r="K23" s="2"/>
    </row>
    <row r="24" spans="1:11" x14ac:dyDescent="0.2">
      <c r="A24" s="9"/>
      <c r="B24" s="26"/>
      <c r="C24" s="34"/>
      <c r="D24" s="37"/>
      <c r="E24" s="67"/>
      <c r="F24" s="28"/>
      <c r="G24" s="34"/>
      <c r="H24" s="21"/>
      <c r="I24" s="50"/>
      <c r="K24" s="2"/>
    </row>
    <row r="25" spans="1:11" x14ac:dyDescent="0.2">
      <c r="I25" s="169"/>
      <c r="J25" s="20"/>
      <c r="K25" s="2"/>
    </row>
    <row r="26" spans="1:11" x14ac:dyDescent="0.2">
      <c r="A26" t="s">
        <v>9</v>
      </c>
      <c r="C26" s="19">
        <f>SUM(C14:C24)</f>
        <v>4911620</v>
      </c>
      <c r="F26" s="19">
        <f>SUM(F14:F24)</f>
        <v>6585047</v>
      </c>
      <c r="G26" s="19">
        <f>SUM(G14:G24)</f>
        <v>43905405</v>
      </c>
      <c r="H26" s="20">
        <f>ROUND(F26/G26,3)</f>
        <v>0.15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"&amp;'2.3d'!$J$1&amp;", "&amp;'2.3d'!$J$2</f>
        <v>(2) Exhibit 2, Sheet 3d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"&amp;'10.1d'!$J$1&amp;", "&amp;'10.1d'!$J$2</f>
        <v>(6) Exhibit 10, Sheet 1d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A39" s="60"/>
      <c r="B39" s="25"/>
      <c r="I39" s="50"/>
      <c r="K39" s="2"/>
    </row>
    <row r="40" spans="1:11" x14ac:dyDescent="0.2">
      <c r="B40" s="25"/>
      <c r="I40" s="50"/>
      <c r="K40" s="2"/>
    </row>
    <row r="41" spans="1:11" x14ac:dyDescent="0.2"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M69"/>
  <sheetViews>
    <sheetView showGridLines="0" topLeftCell="A4" workbookViewId="0">
      <selection activeCell="F55" sqref="F55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99" t="s">
        <v>327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2010</v>
      </c>
      <c r="B14" s="25"/>
      <c r="C14" s="33">
        <f>'2.4a'!C14</f>
        <v>1264721</v>
      </c>
      <c r="D14" s="44">
        <v>1</v>
      </c>
      <c r="E14" s="31">
        <f t="shared" ref="E14:E21" si="1">ROUND(C14*D14,0)</f>
        <v>1264721</v>
      </c>
      <c r="K14" s="2"/>
      <c r="L14" s="35"/>
    </row>
    <row r="15" spans="1:12" x14ac:dyDescent="0.2">
      <c r="A15" t="str">
        <f t="shared" si="0"/>
        <v>2011</v>
      </c>
      <c r="B15" s="25"/>
      <c r="C15" s="33">
        <f>'2.4a'!C15</f>
        <v>1277401</v>
      </c>
      <c r="D15" s="36">
        <f>INDEX('ldf 3.1a'!$C$46:$K$46,11-MATCH(A15,A$14:A$23))</f>
        <v>1</v>
      </c>
      <c r="E15" s="31">
        <f t="shared" si="1"/>
        <v>1277401</v>
      </c>
      <c r="K15" s="2"/>
      <c r="L15" s="35"/>
    </row>
    <row r="16" spans="1:12" x14ac:dyDescent="0.2">
      <c r="A16" t="str">
        <f t="shared" si="0"/>
        <v>2012</v>
      </c>
      <c r="B16" s="25"/>
      <c r="C16" s="33">
        <f>'2.4a'!C16</f>
        <v>10634874</v>
      </c>
      <c r="D16" s="36">
        <f>INDEX('ldf 3.1a'!$C$46:$K$46,11-MATCH(A16,A$14:A$23))</f>
        <v>1</v>
      </c>
      <c r="E16" s="31">
        <f t="shared" si="1"/>
        <v>10634874</v>
      </c>
      <c r="K16" s="2"/>
      <c r="L16" s="35"/>
    </row>
    <row r="17" spans="1:13" x14ac:dyDescent="0.2">
      <c r="A17" t="str">
        <f t="shared" si="0"/>
        <v>2013</v>
      </c>
      <c r="B17" s="25"/>
      <c r="C17" s="33">
        <f>'2.4a'!C17</f>
        <v>54058418</v>
      </c>
      <c r="D17" s="36">
        <f>INDEX('ldf 3.1a'!$C$46:$K$46,11-MATCH(A17,A$14:A$23))</f>
        <v>1</v>
      </c>
      <c r="E17" s="31">
        <f t="shared" si="1"/>
        <v>54058418</v>
      </c>
      <c r="K17" s="2"/>
      <c r="L17" s="35"/>
    </row>
    <row r="18" spans="1:13" x14ac:dyDescent="0.2">
      <c r="A18" t="str">
        <f t="shared" si="0"/>
        <v>2014</v>
      </c>
      <c r="B18" s="25"/>
      <c r="C18" s="33">
        <f>'2.4a'!C18</f>
        <v>520624</v>
      </c>
      <c r="D18" s="36">
        <f>INDEX('ldf 3.1a'!$C$46:$K$46,11-MATCH(A18,A$14:A$23))</f>
        <v>1.0009999999999999</v>
      </c>
      <c r="E18" s="31">
        <f t="shared" si="1"/>
        <v>521145</v>
      </c>
      <c r="K18" s="2"/>
      <c r="L18" s="35"/>
    </row>
    <row r="19" spans="1:13" x14ac:dyDescent="0.2">
      <c r="A19" t="str">
        <f t="shared" si="0"/>
        <v>2015</v>
      </c>
      <c r="B19" s="25"/>
      <c r="C19" s="33">
        <f>'2.4a'!C19</f>
        <v>17432597</v>
      </c>
      <c r="D19" s="36">
        <f>INDEX('ldf 3.1a'!$C$46:$K$46,11-MATCH(A19,A$14:A$23))</f>
        <v>1.0049999999999999</v>
      </c>
      <c r="E19" s="31">
        <f t="shared" si="1"/>
        <v>17519760</v>
      </c>
      <c r="K19" s="2"/>
      <c r="L19" s="35"/>
    </row>
    <row r="20" spans="1:13" x14ac:dyDescent="0.2">
      <c r="A20" t="str">
        <f t="shared" si="0"/>
        <v>2016</v>
      </c>
      <c r="B20" s="25"/>
      <c r="C20" s="33">
        <f>'2.4a'!C20</f>
        <v>10965754</v>
      </c>
      <c r="D20" s="36">
        <f>INDEX('ldf 3.1a'!$C$46:$K$46,11-MATCH(A20,A$14:A$23))</f>
        <v>1.018</v>
      </c>
      <c r="E20" s="31">
        <f t="shared" si="1"/>
        <v>11163138</v>
      </c>
      <c r="K20" s="2"/>
      <c r="L20" s="35"/>
    </row>
    <row r="21" spans="1:13" x14ac:dyDescent="0.2">
      <c r="A21" t="str">
        <f t="shared" si="0"/>
        <v>2017</v>
      </c>
      <c r="B21" s="25"/>
      <c r="C21" s="33">
        <f>'2.4a'!C21</f>
        <v>2662919</v>
      </c>
      <c r="D21" s="36">
        <f>INDEX('ldf 3.1a'!$C$46:$K$46,11-MATCH(A21,A$14:A$23))</f>
        <v>1.0389999999999999</v>
      </c>
      <c r="E21" s="31">
        <f t="shared" si="1"/>
        <v>2766773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2018</v>
      </c>
      <c r="B22" s="51"/>
      <c r="C22" s="49">
        <f>'2.4a'!C22</f>
        <v>2271239</v>
      </c>
      <c r="D22" s="36">
        <f>INDEX('ldf 3.1a'!$C$46:$K$46,11-MATCH(A22,A$14:A$23))</f>
        <v>1.095</v>
      </c>
      <c r="E22" s="125">
        <f>ROUND(C22*D22,0)</f>
        <v>2487007</v>
      </c>
      <c r="K22" s="2"/>
      <c r="L22" s="86">
        <f>'2.4a'!L$22</f>
        <v>43738</v>
      </c>
      <c r="M22" s="86">
        <f>'2.4a'!M$22</f>
        <v>43830</v>
      </c>
    </row>
    <row r="23" spans="1:13" x14ac:dyDescent="0.2">
      <c r="A23" t="str">
        <f>TEXT(YEAR($L$22),"#")</f>
        <v>2019</v>
      </c>
      <c r="B23" s="51"/>
      <c r="C23" s="49">
        <f>'2.4a'!C23</f>
        <v>3407800</v>
      </c>
      <c r="D23" s="36">
        <f>INDEX('ldf 3.1a'!$C$46:$K$46,11-MATCH(A23,A$14:A$23))</f>
        <v>1.274</v>
      </c>
      <c r="E23" s="125">
        <f>ROUND(C23*D23,0)</f>
        <v>4341537</v>
      </c>
      <c r="K23" s="2"/>
      <c r="L23" s="86"/>
      <c r="M23" s="86"/>
    </row>
    <row r="24" spans="1:13" x14ac:dyDescent="0.2">
      <c r="A24" s="9"/>
      <c r="B24" s="26"/>
      <c r="C24" s="34"/>
      <c r="D24" s="202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104496347</v>
      </c>
      <c r="E26" s="19">
        <f>SUM(E14:E24)</f>
        <v>106034774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"&amp;'2.4a'!$J$1&amp;", "&amp;'2.4a'!$J$2&amp;", as of "&amp;TEXT($M$22,"m/d/yy")</f>
        <v>(2) Exhibit 2, Sheet 4a, as of 12/31/19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1:11" x14ac:dyDescent="0.2">
      <c r="B33" s="22"/>
      <c r="K33" s="2"/>
    </row>
    <row r="34" spans="1:11" x14ac:dyDescent="0.2">
      <c r="B34" s="25"/>
      <c r="K34" s="2"/>
    </row>
    <row r="35" spans="1:11" x14ac:dyDescent="0.2">
      <c r="A35" s="60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49</vt:i4>
      </vt:variant>
    </vt:vector>
  </HeadingPairs>
  <TitlesOfParts>
    <vt:vector size="99" baseType="lpstr">
      <vt:lpstr>Cover Page</vt:lpstr>
      <vt:lpstr>Table of Contents</vt:lpstr>
      <vt:lpstr>1</vt:lpstr>
      <vt:lpstr>2.1</vt:lpstr>
      <vt:lpstr>2.2a</vt:lpstr>
      <vt:lpstr>2.2b</vt:lpstr>
      <vt:lpstr>2.2c</vt:lpstr>
      <vt:lpstr>2.2d</vt:lpstr>
      <vt:lpstr>2.3a</vt:lpstr>
      <vt:lpstr>2.3b</vt:lpstr>
      <vt:lpstr>2.3c</vt:lpstr>
      <vt:lpstr>2.3d</vt:lpstr>
      <vt:lpstr>2.4a</vt:lpstr>
      <vt:lpstr>2.4b</vt:lpstr>
      <vt:lpstr>2.4c</vt:lpstr>
      <vt:lpstr>2.4d</vt:lpstr>
      <vt:lpstr>trend 2.5</vt:lpstr>
      <vt:lpstr>ldf 3.1a</vt:lpstr>
      <vt:lpstr>ldf 3.1b</vt:lpstr>
      <vt:lpstr>3.2 premium trend</vt:lpstr>
      <vt:lpstr>3.3a</vt:lpstr>
      <vt:lpstr>3.3b</vt:lpstr>
      <vt:lpstr>3.3c</vt:lpstr>
      <vt:lpstr>3.3d</vt:lpstr>
      <vt:lpstr>4.1</vt:lpstr>
      <vt:lpstr>4.2</vt:lpstr>
      <vt:lpstr>4.3AS loss Dev</vt:lpstr>
      <vt:lpstr>4.4</vt:lpstr>
      <vt:lpstr>4.5AS LAE Dev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8.1</vt:lpstr>
      <vt:lpstr>8.2</vt:lpstr>
      <vt:lpstr>9</vt:lpstr>
      <vt:lpstr>10.1a</vt:lpstr>
      <vt:lpstr>10.1b</vt:lpstr>
      <vt:lpstr>10.1c</vt:lpstr>
      <vt:lpstr>10.1d</vt:lpstr>
      <vt:lpstr>10.2</vt:lpstr>
      <vt:lpstr>11.1</vt:lpstr>
      <vt:lpstr>11.2</vt:lpstr>
      <vt:lpstr>12</vt:lpstr>
      <vt:lpstr>'1'!Print_Area</vt:lpstr>
      <vt:lpstr>'10.1a'!Print_Area</vt:lpstr>
      <vt:lpstr>'10.1b'!Print_Area</vt:lpstr>
      <vt:lpstr>'10.1c'!Print_Area</vt:lpstr>
      <vt:lpstr>'10.1d'!Print_Area</vt:lpstr>
      <vt:lpstr>'10.2'!Print_Area</vt:lpstr>
      <vt:lpstr>'11.1'!Print_Area</vt:lpstr>
      <vt:lpstr>'11.2'!Print_Area</vt:lpstr>
      <vt:lpstr>'12'!Print_Area</vt:lpstr>
      <vt:lpstr>'2.1'!Print_Area</vt:lpstr>
      <vt:lpstr>'2.2a'!Print_Area</vt:lpstr>
      <vt:lpstr>'2.2b'!Print_Area</vt:lpstr>
      <vt:lpstr>'2.2c'!Print_Area</vt:lpstr>
      <vt:lpstr>'2.2d'!Print_Area</vt:lpstr>
      <vt:lpstr>'2.3a'!Print_Area</vt:lpstr>
      <vt:lpstr>'2.3b'!Print_Area</vt:lpstr>
      <vt:lpstr>'2.3c'!Print_Area</vt:lpstr>
      <vt:lpstr>'2.3d'!Print_Area</vt:lpstr>
      <vt:lpstr>'2.4a'!Print_Area</vt:lpstr>
      <vt:lpstr>'2.4b'!Print_Area</vt:lpstr>
      <vt:lpstr>'2.4c'!Print_Area</vt:lpstr>
      <vt:lpstr>'2.4d'!Print_Area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'4.3AS loss Dev'!Print_Area</vt:lpstr>
      <vt:lpstr>'4.4'!Print_Area</vt:lpstr>
      <vt:lpstr>'4.5AS LAE Dev'!Print_Area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'8.1'!Print_Area</vt:lpstr>
      <vt:lpstr>'8.2'!Print_Area</vt:lpstr>
      <vt:lpstr>'9'!Print_Area</vt:lpstr>
      <vt:lpstr>'ldf 3.1a'!Print_Area</vt:lpstr>
      <vt:lpstr>'ldf 3.1b'!Print_Area</vt:lpstr>
      <vt:lpstr>'Table of Contents'!Print_Area</vt:lpstr>
      <vt:lpstr>'trend 2.5'!Print_Area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Angela Fang</cp:lastModifiedBy>
  <cp:lastPrinted>2020-07-20T19:24:13Z</cp:lastPrinted>
  <dcterms:created xsi:type="dcterms:W3CDTF">2001-12-17T21:49:07Z</dcterms:created>
  <dcterms:modified xsi:type="dcterms:W3CDTF">2020-07-20T21:23:45Z</dcterms:modified>
</cp:coreProperties>
</file>